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Типы вычетов пример" sheetId="4" r:id="rId1"/>
    <sheet name="Реальная доходность" sheetId="5" r:id="rId2"/>
    <sheet name="Сравнение" sheetId="3" r:id="rId3"/>
  </sheets>
  <calcPr calcId="162913"/>
</workbook>
</file>

<file path=xl/calcChain.xml><?xml version="1.0" encoding="utf-8"?>
<calcChain xmlns="http://schemas.openxmlformats.org/spreadsheetml/2006/main">
  <c r="J7" i="4" l="1"/>
  <c r="J8" i="4"/>
  <c r="O8" i="4"/>
  <c r="O7" i="4"/>
  <c r="E7" i="4"/>
  <c r="E8" i="4"/>
  <c r="F8" i="5"/>
  <c r="E8" i="5"/>
  <c r="E9" i="5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5" i="3"/>
  <c r="L5" i="3"/>
  <c r="O9" i="3"/>
  <c r="O10" i="3" s="1"/>
  <c r="O11" i="3" s="1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8" i="3"/>
  <c r="O7" i="3"/>
  <c r="M5" i="3" l="1"/>
  <c r="N5" i="3" s="1"/>
  <c r="L6" i="3" s="1"/>
  <c r="E11" i="5"/>
  <c r="E12" i="5"/>
  <c r="E13" i="5"/>
  <c r="E14" i="5"/>
  <c r="E15" i="5"/>
  <c r="E16" i="5"/>
  <c r="E10" i="5"/>
  <c r="D7" i="5"/>
  <c r="F7" i="5" s="1"/>
  <c r="C8" i="5" s="1"/>
  <c r="D8" i="5" s="1"/>
  <c r="M6" i="3" l="1"/>
  <c r="N6" i="3" s="1"/>
  <c r="L7" i="3" s="1"/>
  <c r="G7" i="5"/>
  <c r="E25" i="4"/>
  <c r="T15" i="4"/>
  <c r="T16" i="4"/>
  <c r="T17" i="4"/>
  <c r="T18" i="4"/>
  <c r="T19" i="4"/>
  <c r="T20" i="4"/>
  <c r="T21" i="4"/>
  <c r="T22" i="4"/>
  <c r="T23" i="4"/>
  <c r="T24" i="4"/>
  <c r="T25" i="4"/>
  <c r="B6" i="4"/>
  <c r="E15" i="4"/>
  <c r="B16" i="4" s="1"/>
  <c r="E16" i="4"/>
  <c r="B17" i="4" s="1"/>
  <c r="E17" i="4"/>
  <c r="B18" i="4" s="1"/>
  <c r="E18" i="4"/>
  <c r="B19" i="4" s="1"/>
  <c r="E19" i="4"/>
  <c r="B20" i="4" s="1"/>
  <c r="E20" i="4"/>
  <c r="B21" i="4" s="1"/>
  <c r="E21" i="4"/>
  <c r="B22" i="4" s="1"/>
  <c r="E22" i="4"/>
  <c r="B23" i="4" s="1"/>
  <c r="E23" i="4"/>
  <c r="B24" i="4" s="1"/>
  <c r="E24" i="4"/>
  <c r="B25" i="4" s="1"/>
  <c r="J6" i="4"/>
  <c r="O17" i="4"/>
  <c r="J17" i="4" s="1"/>
  <c r="O21" i="4"/>
  <c r="J21" i="4" s="1"/>
  <c r="O25" i="4"/>
  <c r="J25" i="4" s="1"/>
  <c r="E14" i="4"/>
  <c r="B15" i="4" s="1"/>
  <c r="E13" i="4"/>
  <c r="B14" i="4" s="1"/>
  <c r="E12" i="4"/>
  <c r="B13" i="4" s="1"/>
  <c r="E11" i="4"/>
  <c r="B12" i="4" s="1"/>
  <c r="E10" i="4"/>
  <c r="B11" i="4" s="1"/>
  <c r="E9" i="4"/>
  <c r="B10" i="4" s="1"/>
  <c r="T14" i="4"/>
  <c r="M7" i="3" l="1"/>
  <c r="N7" i="3" s="1"/>
  <c r="L8" i="3" s="1"/>
  <c r="C9" i="5"/>
  <c r="O24" i="4"/>
  <c r="J24" i="4" s="1"/>
  <c r="O20" i="4"/>
  <c r="J20" i="4" s="1"/>
  <c r="O16" i="4"/>
  <c r="J16" i="4" s="1"/>
  <c r="O23" i="4"/>
  <c r="J23" i="4" s="1"/>
  <c r="O19" i="4"/>
  <c r="J19" i="4" s="1"/>
  <c r="O15" i="4"/>
  <c r="J15" i="4" s="1"/>
  <c r="O22" i="4"/>
  <c r="J22" i="4" s="1"/>
  <c r="O18" i="4"/>
  <c r="J18" i="4" s="1"/>
  <c r="O14" i="4"/>
  <c r="J14" i="4" s="1"/>
  <c r="K6" i="4"/>
  <c r="N6" i="4" s="1"/>
  <c r="O13" i="4"/>
  <c r="J13" i="4" s="1"/>
  <c r="O12" i="4"/>
  <c r="J12" i="4" s="1"/>
  <c r="O9" i="4"/>
  <c r="J9" i="4" s="1"/>
  <c r="O10" i="4"/>
  <c r="J10" i="4" s="1"/>
  <c r="O11" i="4"/>
  <c r="J11" i="4" s="1"/>
  <c r="T6" i="4"/>
  <c r="U6" i="4" s="1"/>
  <c r="T7" i="4"/>
  <c r="T8" i="4"/>
  <c r="T9" i="4"/>
  <c r="T10" i="4"/>
  <c r="T11" i="4"/>
  <c r="T12" i="4"/>
  <c r="T13" i="4"/>
  <c r="M8" i="3" l="1"/>
  <c r="N8" i="3" s="1"/>
  <c r="L9" i="3" s="1"/>
  <c r="G8" i="5"/>
  <c r="D9" i="5"/>
  <c r="F9" i="5" s="1"/>
  <c r="V6" i="4"/>
  <c r="D6" i="4"/>
  <c r="F6" i="4" s="1"/>
  <c r="G6" i="4" s="1"/>
  <c r="J26" i="4"/>
  <c r="W6" i="4"/>
  <c r="L6" i="4"/>
  <c r="P6" i="4" s="1"/>
  <c r="Q6" i="4" s="1"/>
  <c r="M9" i="3" l="1"/>
  <c r="N9" i="3"/>
  <c r="L10" i="3" s="1"/>
  <c r="M10" i="3" s="1"/>
  <c r="N10" i="3" s="1"/>
  <c r="L11" i="3" s="1"/>
  <c r="M11" i="3" s="1"/>
  <c r="N11" i="3" s="1"/>
  <c r="L12" i="3" s="1"/>
  <c r="M12" i="3" s="1"/>
  <c r="N12" i="3" s="1"/>
  <c r="L13" i="3" s="1"/>
  <c r="M13" i="3"/>
  <c r="N13" i="3" s="1"/>
  <c r="L14" i="3" s="1"/>
  <c r="U7" i="4"/>
  <c r="V7" i="4" s="1"/>
  <c r="W7" i="4" s="1"/>
  <c r="X7" i="4" s="1"/>
  <c r="X6" i="4"/>
  <c r="C10" i="5"/>
  <c r="D7" i="4"/>
  <c r="F7" i="4" s="1"/>
  <c r="G7" i="4" s="1"/>
  <c r="K7" i="4"/>
  <c r="M14" i="3" l="1"/>
  <c r="N14" i="3"/>
  <c r="L15" i="3" s="1"/>
  <c r="D10" i="5"/>
  <c r="G9" i="5"/>
  <c r="D8" i="4"/>
  <c r="F8" i="4" s="1"/>
  <c r="G8" i="4" s="1"/>
  <c r="N7" i="4"/>
  <c r="L7" i="4"/>
  <c r="U8" i="4"/>
  <c r="M15" i="3" l="1"/>
  <c r="N15" i="3" s="1"/>
  <c r="L16" i="3" s="1"/>
  <c r="P7" i="4"/>
  <c r="F10" i="5"/>
  <c r="C11" i="5" s="1"/>
  <c r="V8" i="4"/>
  <c r="W8" i="4" s="1"/>
  <c r="D9" i="4"/>
  <c r="F9" i="4" s="1"/>
  <c r="M16" i="3" l="1"/>
  <c r="N16" i="3" s="1"/>
  <c r="L17" i="3" s="1"/>
  <c r="D11" i="5"/>
  <c r="G10" i="5"/>
  <c r="K8" i="4"/>
  <c r="L8" i="4" s="1"/>
  <c r="Q7" i="4"/>
  <c r="U9" i="4"/>
  <c r="G9" i="4"/>
  <c r="D10" i="4"/>
  <c r="F10" i="4" s="1"/>
  <c r="N8" i="4" l="1"/>
  <c r="P8" i="4" s="1"/>
  <c r="Q8" i="4" s="1"/>
  <c r="M17" i="3"/>
  <c r="N17" i="3" s="1"/>
  <c r="L18" i="3" s="1"/>
  <c r="F11" i="5"/>
  <c r="C12" i="5" s="1"/>
  <c r="X8" i="4"/>
  <c r="G10" i="4"/>
  <c r="D11" i="4"/>
  <c r="F11" i="4" s="1"/>
  <c r="M18" i="3" l="1"/>
  <c r="N18" i="3"/>
  <c r="L19" i="3" s="1"/>
  <c r="D12" i="5"/>
  <c r="G11" i="5"/>
  <c r="V9" i="4"/>
  <c r="W9" i="4" s="1"/>
  <c r="G11" i="4"/>
  <c r="D12" i="4"/>
  <c r="F12" i="4" s="1"/>
  <c r="K9" i="4"/>
  <c r="M19" i="3" l="1"/>
  <c r="N19" i="3" s="1"/>
  <c r="L20" i="3" s="1"/>
  <c r="F12" i="5"/>
  <c r="C13" i="5" s="1"/>
  <c r="U10" i="4"/>
  <c r="G12" i="4"/>
  <c r="D13" i="4"/>
  <c r="F13" i="4" s="1"/>
  <c r="N9" i="4"/>
  <c r="L9" i="4"/>
  <c r="M20" i="3" l="1"/>
  <c r="N20" i="3" s="1"/>
  <c r="L21" i="3" s="1"/>
  <c r="G12" i="5"/>
  <c r="D13" i="5"/>
  <c r="P9" i="4"/>
  <c r="Q9" i="4" s="1"/>
  <c r="V10" i="4"/>
  <c r="W10" i="4" s="1"/>
  <c r="X9" i="4"/>
  <c r="G13" i="4"/>
  <c r="D14" i="4"/>
  <c r="F14" i="4" s="1"/>
  <c r="M21" i="3" l="1"/>
  <c r="N21" i="3"/>
  <c r="L22" i="3" s="1"/>
  <c r="F13" i="5"/>
  <c r="C14" i="5" s="1"/>
  <c r="U11" i="4"/>
  <c r="G14" i="4"/>
  <c r="D15" i="4"/>
  <c r="F15" i="4" s="1"/>
  <c r="K10" i="4"/>
  <c r="M22" i="3" l="1"/>
  <c r="N22" i="3"/>
  <c r="L23" i="3" s="1"/>
  <c r="D14" i="5"/>
  <c r="G13" i="5"/>
  <c r="X10" i="4"/>
  <c r="G15" i="4"/>
  <c r="D16" i="4"/>
  <c r="F16" i="4" s="1"/>
  <c r="N10" i="4"/>
  <c r="L10" i="4"/>
  <c r="M23" i="3" l="1"/>
  <c r="N23" i="3" s="1"/>
  <c r="L24" i="3" s="1"/>
  <c r="F14" i="5"/>
  <c r="C15" i="5" s="1"/>
  <c r="V11" i="4"/>
  <c r="D17" i="4"/>
  <c r="F17" i="4" s="1"/>
  <c r="G16" i="4"/>
  <c r="P10" i="4"/>
  <c r="Q10" i="4" s="1"/>
  <c r="M24" i="3" l="1"/>
  <c r="N24" i="3" s="1"/>
  <c r="D15" i="5"/>
  <c r="G14" i="5"/>
  <c r="W11" i="4"/>
  <c r="U12" i="4" s="1"/>
  <c r="G17" i="4"/>
  <c r="D18" i="4"/>
  <c r="F18" i="4" s="1"/>
  <c r="K11" i="4"/>
  <c r="X11" i="4" l="1"/>
  <c r="F15" i="5"/>
  <c r="C16" i="5" s="1"/>
  <c r="V12" i="4"/>
  <c r="W12" i="4" s="1"/>
  <c r="U13" i="4" s="1"/>
  <c r="G18" i="4"/>
  <c r="D19" i="4"/>
  <c r="F19" i="4" s="1"/>
  <c r="N11" i="4"/>
  <c r="L11" i="4"/>
  <c r="X12" i="4" l="1"/>
  <c r="D16" i="5"/>
  <c r="G15" i="5"/>
  <c r="V13" i="4"/>
  <c r="W13" i="4" s="1"/>
  <c r="G19" i="4"/>
  <c r="D20" i="4"/>
  <c r="F20" i="4" s="1"/>
  <c r="P11" i="4"/>
  <c r="Q11" i="4" s="1"/>
  <c r="F16" i="5" l="1"/>
  <c r="G16" i="5" s="1"/>
  <c r="G20" i="4"/>
  <c r="D21" i="4"/>
  <c r="F21" i="4" s="1"/>
  <c r="K12" i="4"/>
  <c r="U14" i="4"/>
  <c r="G21" i="4" l="1"/>
  <c r="D22" i="4"/>
  <c r="F22" i="4" s="1"/>
  <c r="V14" i="4"/>
  <c r="W14" i="4" s="1"/>
  <c r="X13" i="4"/>
  <c r="N12" i="4"/>
  <c r="L12" i="4"/>
  <c r="D23" i="4" l="1"/>
  <c r="F23" i="4" s="1"/>
  <c r="G22" i="4"/>
  <c r="P12" i="4"/>
  <c r="Q12" i="4" s="1"/>
  <c r="U15" i="4" l="1"/>
  <c r="G23" i="4"/>
  <c r="D24" i="4"/>
  <c r="F24" i="4" s="1"/>
  <c r="K13" i="4"/>
  <c r="G24" i="4" l="1"/>
  <c r="D25" i="4"/>
  <c r="F25" i="4" s="1"/>
  <c r="G25" i="4" s="1"/>
  <c r="X14" i="4"/>
  <c r="V15" i="4"/>
  <c r="W15" i="4" s="1"/>
  <c r="N13" i="4"/>
  <c r="L13" i="4"/>
  <c r="U16" i="4" l="1"/>
  <c r="V16" i="4" s="1"/>
  <c r="W16" i="4" s="1"/>
  <c r="X15" i="4"/>
  <c r="P13" i="4"/>
  <c r="Q13" i="4" s="1"/>
  <c r="U17" i="4" l="1"/>
  <c r="V17" i="4" s="1"/>
  <c r="W17" i="4" s="1"/>
  <c r="X16" i="4"/>
  <c r="K14" i="4"/>
  <c r="U18" i="4" l="1"/>
  <c r="V18" i="4" s="1"/>
  <c r="W18" i="4" s="1"/>
  <c r="X17" i="4"/>
  <c r="N14" i="4"/>
  <c r="L14" i="4"/>
  <c r="U19" i="4" l="1"/>
  <c r="V19" i="4" s="1"/>
  <c r="W19" i="4" s="1"/>
  <c r="X18" i="4"/>
  <c r="P14" i="4"/>
  <c r="Q14" i="4" s="1"/>
  <c r="U20" i="4" l="1"/>
  <c r="V20" i="4" s="1"/>
  <c r="W20" i="4" s="1"/>
  <c r="X19" i="4"/>
  <c r="K15" i="4"/>
  <c r="U21" i="4" l="1"/>
  <c r="V21" i="4" s="1"/>
  <c r="W21" i="4" s="1"/>
  <c r="X20" i="4"/>
  <c r="L15" i="4"/>
  <c r="N15" i="4"/>
  <c r="U22" i="4" l="1"/>
  <c r="V22" i="4" s="1"/>
  <c r="W22" i="4" s="1"/>
  <c r="X21" i="4"/>
  <c r="P15" i="4"/>
  <c r="U23" i="4" l="1"/>
  <c r="V23" i="4" s="1"/>
  <c r="W23" i="4" s="1"/>
  <c r="X22" i="4"/>
  <c r="K16" i="4"/>
  <c r="N16" i="4" s="1"/>
  <c r="Q15" i="4"/>
  <c r="U24" i="4" l="1"/>
  <c r="V24" i="4" s="1"/>
  <c r="W24" i="4" s="1"/>
  <c r="X23" i="4"/>
  <c r="L16" i="4"/>
  <c r="P16" i="4" s="1"/>
  <c r="Q16" i="4" s="1"/>
  <c r="U25" i="4" l="1"/>
  <c r="V25" i="4" s="1"/>
  <c r="W25" i="4" s="1"/>
  <c r="X25" i="4" s="1"/>
  <c r="V28" i="4" s="1"/>
  <c r="X24" i="4"/>
  <c r="K17" i="4"/>
  <c r="L17" i="4" s="1"/>
  <c r="N17" i="4" l="1"/>
  <c r="P17" i="4" s="1"/>
  <c r="Q17" i="4" s="1"/>
  <c r="K18" i="4" l="1"/>
  <c r="N18" i="4" s="1"/>
  <c r="L18" i="4" l="1"/>
  <c r="P18" i="4" s="1"/>
  <c r="K19" i="4" s="1"/>
  <c r="L19" i="4" s="1"/>
  <c r="Q18" i="4" l="1"/>
  <c r="N19" i="4"/>
  <c r="P19" i="4" s="1"/>
  <c r="Q19" i="4" l="1"/>
  <c r="K20" i="4"/>
  <c r="N20" i="4" s="1"/>
  <c r="L20" i="4" l="1"/>
  <c r="P20" i="4" s="1"/>
  <c r="Q20" i="4" l="1"/>
  <c r="K21" i="4"/>
  <c r="N21" i="4" l="1"/>
  <c r="L21" i="4"/>
  <c r="P21" i="4" s="1"/>
  <c r="K22" i="4" l="1"/>
  <c r="Q21" i="4"/>
  <c r="N22" i="4" l="1"/>
  <c r="L22" i="4"/>
  <c r="P22" i="4" s="1"/>
  <c r="K23" i="4" l="1"/>
  <c r="Q22" i="4"/>
  <c r="L23" i="4" l="1"/>
  <c r="N23" i="4"/>
  <c r="P23" i="4" l="1"/>
  <c r="Q23" i="4" l="1"/>
  <c r="K24" i="4"/>
  <c r="N24" i="4" l="1"/>
  <c r="L24" i="4"/>
  <c r="P24" i="4" l="1"/>
  <c r="Q24" i="4" l="1"/>
  <c r="K25" i="4"/>
  <c r="L25" i="4" l="1"/>
  <c r="N25" i="4"/>
  <c r="N26" i="4" s="1"/>
  <c r="P25" i="4" l="1"/>
  <c r="M28" i="4" s="1"/>
  <c r="O28" i="4" s="1"/>
  <c r="P26" i="4" s="1"/>
  <c r="Q25" i="4" l="1"/>
</calcChain>
</file>

<file path=xl/sharedStrings.xml><?xml version="1.0" encoding="utf-8"?>
<sst xmlns="http://schemas.openxmlformats.org/spreadsheetml/2006/main" count="71" uniqueCount="56">
  <si>
    <t>Капитал после закрытия ИИС Тип Б</t>
  </si>
  <si>
    <t>Внесено Тип Б</t>
  </si>
  <si>
    <t>Внесено Тип A</t>
  </si>
  <si>
    <t>год</t>
  </si>
  <si>
    <t>Тип А вкладываем в ОФЗ</t>
  </si>
  <si>
    <t>с учетом курсовой разницы</t>
  </si>
  <si>
    <t>Считаем налогооблагаемую базу</t>
  </si>
  <si>
    <t>налог</t>
  </si>
  <si>
    <t>То есть, мы вернули за 20 лет 1 млн. рублей и вынуждены заплатить 14 млн. налогов в конце срока.</t>
  </si>
  <si>
    <t>При оформении вычета типа Б мы налогов не платим.</t>
  </si>
  <si>
    <t>Да есть еще много ньюансов.</t>
  </si>
  <si>
    <t>Таких например, как налоговая льгота по бумаге за 3 года владения. Но захотите ли вы бегать так и расчитывать вычеты по каждой бумаге. А потом еще доказывать и брокеру и налоговой когда вы покупали и продавали эти акции и что вправе рассчитывать на такие вычеты и так далее.</t>
  </si>
  <si>
    <t xml:space="preserve">Есть и другой вариант. Когда вы не закрываете свой счет ИИС и просто переводите купоны и дивиденды на дебетовую карты и живете за их счет, оставив вопросы закрыти ИИС своим наследникам. </t>
  </si>
  <si>
    <t>Ежегодный взнос</t>
  </si>
  <si>
    <t>Капитал пос-ле закрытия ИИС Тип А</t>
  </si>
  <si>
    <t>Изменение курсовой стоимости, %</t>
  </si>
  <si>
    <t>Купоны/дивиденды, %</t>
  </si>
  <si>
    <t>Ежегодный взнос первые три года 1 млн, потом на 52000 меньше, за счет возвращаемого налога</t>
  </si>
  <si>
    <t>Тип А вкладываем в портфель из Акций и Облигаций</t>
  </si>
  <si>
    <t>Купоны реинвестируются</t>
  </si>
  <si>
    <t>Вычет реинвестируется</t>
  </si>
  <si>
    <t>Капитал на конец года</t>
  </si>
  <si>
    <t>Капитал на начало года</t>
  </si>
  <si>
    <t>Изменение курсовой стоимости</t>
  </si>
  <si>
    <t>Дивиденды реинвестируются</t>
  </si>
  <si>
    <t>Налогообл-агаемая база</t>
  </si>
  <si>
    <t>Изменение курсовой стоимости (плюс дивиденды и купоны), %</t>
  </si>
  <si>
    <t>Год</t>
  </si>
  <si>
    <t>При этом мы не будем платить никаких налогов</t>
  </si>
  <si>
    <t>На самом деле, если даже исключить дивидендную и купонную доходности, так как при стоимостном инвестирование их влияние не столь существенно, то мы бы заплатили сумму налога примерно равную сумме внесенных средств за эти 20 лет!</t>
  </si>
  <si>
    <t>В конце срока будет небольшой налог за счет роста курсовой стоимости, так как облигации тоже имеют такую особенность. Разумеется, не настолько высокую, как в акциях.</t>
  </si>
  <si>
    <t>При этом, мы попадаем на полный налог в конце срока с роста курсовой стоимости</t>
  </si>
  <si>
    <t>При этом, мы попадаем на налог в конце срока с курсовой стоимости</t>
  </si>
  <si>
    <t>8% годовых</t>
  </si>
  <si>
    <t>Капитал в конце года</t>
  </si>
  <si>
    <t>Налоговый вычет</t>
  </si>
  <si>
    <t>Доходность, %</t>
  </si>
  <si>
    <t>Тип Б вкладываем в портфель из Акций и Облигаций, используя частично стоимостную Стратегию.</t>
  </si>
  <si>
    <t>Реальная доходность по ОФЗ с учетом вычета Типа А на ИИС</t>
  </si>
  <si>
    <t>Ежегодный взнос, с максимально возможным вычетом</t>
  </si>
  <si>
    <t>Начало года</t>
  </si>
  <si>
    <t>Конец года</t>
  </si>
  <si>
    <t>Вычет по типу А</t>
  </si>
  <si>
    <t>Вычет по типу Б</t>
  </si>
  <si>
    <t>Не буду заполнять последний столбец. Потому что там слишком много неизввестных.</t>
  </si>
  <si>
    <t>Каждый из нас посчитает сам, так как ему удобнее.</t>
  </si>
  <si>
    <t>Разница только в том, что вычет А растет каждый год на одну и ту же максимальную цифру, а вычет Б будет зависить от срока вложений и Вашей доходности.</t>
  </si>
  <si>
    <t>Только мы не должны забывать, что Время имеет степенную функцию в росте нашего Благосостояния!</t>
  </si>
  <si>
    <t>Поэтому, если Вы пришли на рынок всерьез и надолго, то можно поиграть с государством в вычеты.</t>
  </si>
  <si>
    <t>Хотя обычно все эти игры (в поисках большей доходности) заканчиваются для инвестора не очень хорошо.</t>
  </si>
  <si>
    <t>Откуда я это знаю? Я сам был таким!</t>
  </si>
  <si>
    <t>Сейчас я не бегаю за доходностью, за лишним процентом идаже десятками процентов.</t>
  </si>
  <si>
    <t>Потому что в погоне за этой мелочью могу упустить сотни процентов.</t>
  </si>
  <si>
    <t>Меня этому научил рынок.</t>
  </si>
  <si>
    <t>Но он учит каждого и по своему.</t>
  </si>
  <si>
    <t>Поэтому считаем так как Вам удобно!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</si>
</sst>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" fontId="1" fillId="2" borderId="0" xfId="0" applyNumberFormat="1" applyFont="1" applyFill="1"/>
    <xf numFmtId="0" fontId="1" fillId="3" borderId="0" xfId="0" applyFont="1" applyFill="1"/>
    <xf numFmtId="1" fontId="1" fillId="4" borderId="0" xfId="0" applyNumberFormat="1" applyFont="1" applyFill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1" fontId="1" fillId="4" borderId="1" xfId="0" applyNumberFormat="1" applyFont="1" applyFill="1" applyBorder="1"/>
    <xf numFmtId="1" fontId="1" fillId="2" borderId="1" xfId="0" applyNumberFormat="1" applyFont="1" applyFill="1" applyBorder="1"/>
    <xf numFmtId="1" fontId="3" fillId="3" borderId="0" xfId="0" applyNumberFormat="1" applyFont="1" applyFill="1"/>
    <xf numFmtId="0" fontId="0" fillId="5" borderId="1" xfId="0" applyFill="1" applyBorder="1" applyAlignment="1">
      <alignment wrapText="1"/>
    </xf>
    <xf numFmtId="2" fontId="0" fillId="0" borderId="1" xfId="1" applyNumberFormat="1" applyFont="1" applyBorder="1"/>
    <xf numFmtId="1" fontId="0" fillId="0" borderId="1" xfId="1" applyNumberFormat="1" applyFont="1" applyBorder="1"/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4" borderId="1" xfId="0" applyNumberFormat="1" applyFill="1" applyBorder="1" applyAlignment="1">
      <alignment wrapText="1"/>
    </xf>
    <xf numFmtId="9" fontId="0" fillId="2" borderId="1" xfId="1" applyFont="1" applyFill="1" applyBorder="1"/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'Типы вычетов пример'!$B$3</c:f>
              <c:strCache>
                <c:ptCount val="1"/>
                <c:pt idx="0">
                  <c:v>Тип А вкладываем в ОФЗ</c:v>
                </c:pt>
              </c:strCache>
            </c:strRef>
          </c:tx>
          <c:invertIfNegative val="0"/>
          <c:val>
            <c:numRef>
              <c:f>'Типы вычетов пример'!$G$6:$G$25</c:f>
              <c:numCache>
                <c:formatCode>0</c:formatCode>
                <c:ptCount val="20"/>
                <c:pt idx="0">
                  <c:v>1080000</c:v>
                </c:pt>
                <c:pt idx="1">
                  <c:v>2246400</c:v>
                </c:pt>
                <c:pt idx="2">
                  <c:v>3506112</c:v>
                </c:pt>
                <c:pt idx="3">
                  <c:v>4866600.96</c:v>
                </c:pt>
                <c:pt idx="4">
                  <c:v>6335929.0367999999</c:v>
                </c:pt>
                <c:pt idx="5">
                  <c:v>7922803.3597440002</c:v>
                </c:pt>
                <c:pt idx="6">
                  <c:v>9636627.6285235211</c:v>
                </c:pt>
                <c:pt idx="7">
                  <c:v>11487557.838805404</c:v>
                </c:pt>
                <c:pt idx="8">
                  <c:v>13486562.465909835</c:v>
                </c:pt>
                <c:pt idx="9">
                  <c:v>15645487.463182623</c:v>
                </c:pt>
                <c:pt idx="10">
                  <c:v>17977126.460237231</c:v>
                </c:pt>
                <c:pt idx="11">
                  <c:v>20495296.57705621</c:v>
                </c:pt>
                <c:pt idx="12">
                  <c:v>23214920.303220708</c:v>
                </c:pt>
                <c:pt idx="13">
                  <c:v>26152113.927478366</c:v>
                </c:pt>
                <c:pt idx="14">
                  <c:v>29324283.041676633</c:v>
                </c:pt>
                <c:pt idx="15">
                  <c:v>32750225.685010765</c:v>
                </c:pt>
                <c:pt idx="16">
                  <c:v>36450243.739811622</c:v>
                </c:pt>
                <c:pt idx="17">
                  <c:v>40446263.23899655</c:v>
                </c:pt>
                <c:pt idx="18">
                  <c:v>44761964.298116274</c:v>
                </c:pt>
                <c:pt idx="19">
                  <c:v>49422921.44196558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2-4E17-A051-D1FC25AB7050}"/>
            </c:ext>
          </c:extLst>
        </c:ser>
        <c:ser>
          <c:idx val="0"/>
          <c:order val="0"/>
          <c:tx>
            <c:strRef>
              <c:f>'Типы вычетов пример'!$J$3</c:f>
              <c:strCache>
                <c:ptCount val="1"/>
                <c:pt idx="0">
                  <c:v>Тип А вкладываем в портфель из Акций и Облигаций</c:v>
                </c:pt>
              </c:strCache>
            </c:strRef>
          </c:tx>
          <c:invertIfNegative val="0"/>
          <c:val>
            <c:numRef>
              <c:f>'Типы вычетов пример'!$Q$6:$Q$25</c:f>
              <c:numCache>
                <c:formatCode>0</c:formatCode>
                <c:ptCount val="20"/>
                <c:pt idx="0">
                  <c:v>1121800</c:v>
                </c:pt>
                <c:pt idx="1">
                  <c:v>2433273.92</c:v>
                </c:pt>
                <c:pt idx="2">
                  <c:v>3969397.6308480003</c:v>
                </c:pt>
                <c:pt idx="3">
                  <c:v>5771596.5539763728</c:v>
                </c:pt>
                <c:pt idx="4">
                  <c:v>7888934.9585296167</c:v>
                </c:pt>
                <c:pt idx="5">
                  <c:v>10379524.564882476</c:v>
                </c:pt>
                <c:pt idx="6">
                  <c:v>13312192.894646805</c:v>
                </c:pt>
                <c:pt idx="7">
                  <c:v>16768459.264419679</c:v>
                </c:pt>
                <c:pt idx="8">
                  <c:v>20844875.15277867</c:v>
                </c:pt>
                <c:pt idx="9">
                  <c:v>25655796.130951058</c:v>
                </c:pt>
                <c:pt idx="10">
                  <c:v>31336664.937498435</c:v>
                </c:pt>
                <c:pt idx="11">
                  <c:v>38047899.951973155</c:v>
                </c:pt>
                <c:pt idx="12">
                  <c:v>45979500.703117013</c:v>
                </c:pt>
                <c:pt idx="13">
                  <c:v>55356502.63277179</c:v>
                </c:pt>
                <c:pt idx="14">
                  <c:v>66445437.718254909</c:v>
                </c:pt>
                <c:pt idx="15">
                  <c:v>79561986.433501124</c:v>
                </c:pt>
                <c:pt idx="16">
                  <c:v>95080040.731838733</c:v>
                </c:pt>
                <c:pt idx="17">
                  <c:v>113442438.24278979</c:v>
                </c:pt>
                <c:pt idx="18">
                  <c:v>135173675.85476023</c:v>
                </c:pt>
                <c:pt idx="19">
                  <c:v>160894967.68237805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82-4E17-A051-D1FC25AB7050}"/>
            </c:ext>
          </c:extLst>
        </c:ser>
        <c:ser>
          <c:idx val="1"/>
          <c:order val="1"/>
          <c:tx>
            <c:strRef>
              <c:f>'Типы вычетов пример'!$T$3</c:f>
              <c:strCache>
                <c:ptCount val="1"/>
                <c:pt idx="0">
                  <c:v>Тип Б вкладываем в портфель из Акций и Облигаций, используя частично стоимостную Стратегию.</c:v>
                </c:pt>
              </c:strCache>
            </c:strRef>
          </c:tx>
          <c:invertIfNegative val="0"/>
          <c:val>
            <c:numRef>
              <c:f>'Типы вычетов пример'!$X$6:$X$25</c:f>
              <c:numCache>
                <c:formatCode>0</c:formatCode>
                <c:ptCount val="20"/>
                <c:pt idx="0">
                  <c:v>1200000</c:v>
                </c:pt>
                <c:pt idx="1">
                  <c:v>2640000</c:v>
                </c:pt>
                <c:pt idx="2">
                  <c:v>4368000</c:v>
                </c:pt>
                <c:pt idx="3">
                  <c:v>6441600</c:v>
                </c:pt>
                <c:pt idx="4">
                  <c:v>8929920</c:v>
                </c:pt>
                <c:pt idx="5">
                  <c:v>11915904</c:v>
                </c:pt>
                <c:pt idx="6">
                  <c:v>15499084.799999999</c:v>
                </c:pt>
                <c:pt idx="7">
                  <c:v>19798901.759999998</c:v>
                </c:pt>
                <c:pt idx="8">
                  <c:v>24958682.111999996</c:v>
                </c:pt>
                <c:pt idx="9">
                  <c:v>31150418.534399994</c:v>
                </c:pt>
                <c:pt idx="10">
                  <c:v>38580502.241279989</c:v>
                </c:pt>
                <c:pt idx="11">
                  <c:v>47496602.689535983</c:v>
                </c:pt>
                <c:pt idx="12">
                  <c:v>58195923.227443181</c:v>
                </c:pt>
                <c:pt idx="13">
                  <c:v>71035107.872931808</c:v>
                </c:pt>
                <c:pt idx="14">
                  <c:v>86442129.44751817</c:v>
                </c:pt>
                <c:pt idx="15">
                  <c:v>104930555.3370218</c:v>
                </c:pt>
                <c:pt idx="16">
                  <c:v>127116666.40442616</c:v>
                </c:pt>
                <c:pt idx="17">
                  <c:v>153739999.68531138</c:v>
                </c:pt>
                <c:pt idx="18">
                  <c:v>185687999.62237364</c:v>
                </c:pt>
                <c:pt idx="19">
                  <c:v>224025599.54684836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82-4E17-A051-D1FC25AB7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116736"/>
        <c:axId val="230134912"/>
      </c:barChart>
      <c:catAx>
        <c:axId val="23011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230134912"/>
        <c:crosses val="autoZero"/>
        <c:auto val="1"/>
        <c:lblAlgn val="ctr"/>
        <c:lblOffset val="100"/>
        <c:noMultiLvlLbl val="0"/>
      </c:catAx>
      <c:valAx>
        <c:axId val="2301349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30116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33</xdr:row>
      <xdr:rowOff>165100</xdr:rowOff>
    </xdr:from>
    <xdr:to>
      <xdr:col>20</xdr:col>
      <xdr:colOff>19050</xdr:colOff>
      <xdr:row>52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zoomScale="95" zoomScaleNormal="95" workbookViewId="0">
      <selection activeCell="H3" sqref="H3"/>
    </sheetView>
  </sheetViews>
  <sheetFormatPr defaultRowHeight="15" x14ac:dyDescent="0.25"/>
  <cols>
    <col min="1" max="1" width="4.5703125" customWidth="1"/>
    <col min="2" max="2" width="11" customWidth="1"/>
    <col min="3" max="3" width="14.85546875" customWidth="1"/>
    <col min="4" max="4" width="12.5703125" customWidth="1"/>
    <col min="6" max="6" width="13" customWidth="1"/>
    <col min="7" max="7" width="12.7109375" customWidth="1"/>
    <col min="8" max="8" width="6.42578125" customWidth="1"/>
    <col min="9" max="9" width="5.5703125" customWidth="1"/>
    <col min="10" max="10" width="12.5703125" customWidth="1"/>
    <col min="11" max="11" width="13.140625" customWidth="1"/>
    <col min="12" max="12" width="14.42578125" customWidth="1"/>
    <col min="13" max="13" width="11.28515625" customWidth="1"/>
    <col min="14" max="14" width="12.5703125" customWidth="1"/>
    <col min="15" max="15" width="11.140625" customWidth="1"/>
    <col min="16" max="16" width="13" customWidth="1"/>
    <col min="17" max="17" width="12.42578125" customWidth="1"/>
    <col min="18" max="18" width="6.5703125" customWidth="1"/>
    <col min="19" max="19" width="5.140625" customWidth="1"/>
    <col min="20" max="20" width="11.5703125" customWidth="1"/>
    <col min="21" max="21" width="14" customWidth="1"/>
    <col min="22" max="22" width="12" customWidth="1"/>
    <col min="23" max="23" width="13.85546875" customWidth="1"/>
    <col min="24" max="24" width="14.42578125" customWidth="1"/>
  </cols>
  <sheetData>
    <row r="1" spans="1:25" s="2" customFormat="1" ht="51" customHeight="1" x14ac:dyDescent="0.25">
      <c r="A1"/>
      <c r="B1" s="7" t="s">
        <v>13</v>
      </c>
      <c r="C1" s="7" t="s">
        <v>15</v>
      </c>
      <c r="D1" s="7" t="s">
        <v>16</v>
      </c>
      <c r="H1"/>
      <c r="I1"/>
      <c r="J1" s="26" t="s">
        <v>17</v>
      </c>
      <c r="K1" s="26"/>
      <c r="L1" s="7" t="s">
        <v>15</v>
      </c>
      <c r="M1" s="7" t="s">
        <v>16</v>
      </c>
      <c r="R1"/>
      <c r="T1" s="7" t="s">
        <v>13</v>
      </c>
      <c r="U1" s="18" t="s">
        <v>26</v>
      </c>
      <c r="V1" s="18"/>
    </row>
    <row r="2" spans="1:25" s="2" customFormat="1" ht="15" customHeight="1" x14ac:dyDescent="0.25">
      <c r="B2" s="9">
        <v>948000</v>
      </c>
      <c r="C2" s="14">
        <v>0</v>
      </c>
      <c r="D2" s="14">
        <v>8</v>
      </c>
      <c r="J2" s="9">
        <v>948000</v>
      </c>
      <c r="K2" s="9">
        <v>1000000</v>
      </c>
      <c r="L2" s="14">
        <v>8</v>
      </c>
      <c r="M2" s="14">
        <v>6</v>
      </c>
      <c r="T2" s="9">
        <v>1000000</v>
      </c>
      <c r="U2" s="19">
        <v>20</v>
      </c>
      <c r="V2" s="20"/>
    </row>
    <row r="3" spans="1:25" s="2" customFormat="1" ht="38.25" customHeight="1" x14ac:dyDescent="0.3">
      <c r="A3" s="2" t="s">
        <v>3</v>
      </c>
      <c r="B3" s="23" t="s">
        <v>4</v>
      </c>
      <c r="C3" s="23"/>
      <c r="D3" s="23"/>
      <c r="E3" s="23"/>
      <c r="F3" s="23"/>
      <c r="G3" s="23"/>
      <c r="J3" s="23" t="s">
        <v>18</v>
      </c>
      <c r="K3" s="23"/>
      <c r="L3" s="23"/>
      <c r="M3" s="23"/>
      <c r="N3" s="23"/>
      <c r="O3" s="23"/>
      <c r="P3" s="23"/>
      <c r="Q3" s="23"/>
      <c r="T3" s="24" t="s">
        <v>37</v>
      </c>
      <c r="U3" s="24"/>
      <c r="V3" s="24"/>
      <c r="W3" s="24"/>
      <c r="X3" s="24"/>
    </row>
    <row r="4" spans="1:25" s="2" customFormat="1" x14ac:dyDescent="0.25">
      <c r="B4" s="25" t="s">
        <v>32</v>
      </c>
      <c r="C4" s="25"/>
      <c r="D4" s="25"/>
      <c r="E4" s="25"/>
      <c r="F4" s="25"/>
      <c r="G4" s="25"/>
      <c r="J4" s="25" t="s">
        <v>31</v>
      </c>
      <c r="K4" s="25"/>
      <c r="L4" s="25"/>
      <c r="M4" s="25"/>
      <c r="N4" s="25"/>
      <c r="O4" s="25"/>
      <c r="P4" s="25"/>
      <c r="Q4" s="25"/>
      <c r="T4" s="21" t="s">
        <v>28</v>
      </c>
      <c r="U4" s="21"/>
      <c r="V4" s="21"/>
      <c r="W4" s="21"/>
      <c r="X4" s="21"/>
    </row>
    <row r="5" spans="1:25" ht="51" customHeight="1" x14ac:dyDescent="0.25">
      <c r="A5" s="6" t="s">
        <v>27</v>
      </c>
      <c r="B5" s="7" t="s">
        <v>2</v>
      </c>
      <c r="C5" s="7" t="s">
        <v>5</v>
      </c>
      <c r="D5" s="7" t="s">
        <v>19</v>
      </c>
      <c r="E5" s="7" t="s">
        <v>20</v>
      </c>
      <c r="F5" s="7" t="s">
        <v>21</v>
      </c>
      <c r="G5" s="7" t="s">
        <v>14</v>
      </c>
      <c r="I5" s="6" t="s">
        <v>27</v>
      </c>
      <c r="J5" s="7" t="s">
        <v>2</v>
      </c>
      <c r="K5" s="7" t="s">
        <v>22</v>
      </c>
      <c r="L5" s="7" t="s">
        <v>23</v>
      </c>
      <c r="M5" s="10" t="s">
        <v>25</v>
      </c>
      <c r="N5" s="7" t="s">
        <v>24</v>
      </c>
      <c r="O5" s="7" t="s">
        <v>20</v>
      </c>
      <c r="P5" s="7" t="s">
        <v>21</v>
      </c>
      <c r="Q5" s="7" t="s">
        <v>14</v>
      </c>
      <c r="S5" s="6" t="s">
        <v>27</v>
      </c>
      <c r="T5" s="7" t="s">
        <v>1</v>
      </c>
      <c r="U5" s="7" t="s">
        <v>22</v>
      </c>
      <c r="V5" s="7" t="s">
        <v>23</v>
      </c>
      <c r="W5" s="7" t="s">
        <v>21</v>
      </c>
      <c r="X5" s="7" t="s">
        <v>0</v>
      </c>
    </row>
    <row r="6" spans="1:25" x14ac:dyDescent="0.25">
      <c r="A6" s="6">
        <v>1</v>
      </c>
      <c r="B6" s="6">
        <f>K2+E6</f>
        <v>1000000</v>
      </c>
      <c r="C6" s="6">
        <v>1</v>
      </c>
      <c r="D6" s="6">
        <f>($D$2/100)*B6</f>
        <v>80000</v>
      </c>
      <c r="E6" s="6">
        <v>0</v>
      </c>
      <c r="F6" s="8">
        <f>B6*C6+D6</f>
        <v>1080000</v>
      </c>
      <c r="G6" s="8">
        <f>F6</f>
        <v>1080000</v>
      </c>
      <c r="I6" s="6">
        <v>1</v>
      </c>
      <c r="J6" s="6">
        <f>$K$2+O6</f>
        <v>1000000</v>
      </c>
      <c r="K6" s="6">
        <f>J6</f>
        <v>1000000</v>
      </c>
      <c r="L6" s="8">
        <f t="shared" ref="L6:L14" si="0">K6*(1+$L$2/100)</f>
        <v>1080000</v>
      </c>
      <c r="M6" s="8">
        <v>0</v>
      </c>
      <c r="N6" s="8">
        <f>($M$2/100)*K6*0.87</f>
        <v>52200</v>
      </c>
      <c r="O6" s="6">
        <v>0</v>
      </c>
      <c r="P6" s="8">
        <f>L6+N6</f>
        <v>1132200</v>
      </c>
      <c r="Q6" s="8">
        <f>P6-(P6-SUM(J6)-SUM(N6))*0.13</f>
        <v>1121800</v>
      </c>
      <c r="S6" s="6">
        <v>1</v>
      </c>
      <c r="T6" s="6">
        <f>$T$2</f>
        <v>1000000</v>
      </c>
      <c r="U6" s="6">
        <f>T6</f>
        <v>1000000</v>
      </c>
      <c r="V6" s="8">
        <f>U6*(1+$U$2/100)</f>
        <v>1200000</v>
      </c>
      <c r="W6" s="8">
        <f>V6</f>
        <v>1200000</v>
      </c>
      <c r="X6" s="8">
        <f t="shared" ref="X6:X7" si="1">W6</f>
        <v>1200000</v>
      </c>
    </row>
    <row r="7" spans="1:25" x14ac:dyDescent="0.25">
      <c r="A7" s="6">
        <v>2</v>
      </c>
      <c r="B7" s="6">
        <v>1000000</v>
      </c>
      <c r="C7" s="6">
        <v>1</v>
      </c>
      <c r="D7" s="8">
        <f>($D$2/100)*(B7+F6)</f>
        <v>166400</v>
      </c>
      <c r="E7" s="6">
        <f t="shared" ref="E7:E25" si="2">IF((0.13*$B$2)&gt;52000,52000,(0.13*$K$2))</f>
        <v>52000</v>
      </c>
      <c r="F7" s="8">
        <f t="shared" ref="F7:F14" si="3">(F6+B7)*C7+D7</f>
        <v>2246400</v>
      </c>
      <c r="G7" s="8">
        <f t="shared" ref="G7:G14" si="4">F7</f>
        <v>2246400</v>
      </c>
      <c r="I7" s="6">
        <v>2</v>
      </c>
      <c r="J7" s="6">
        <f t="shared" ref="J7:J8" si="5">$J$2+O7</f>
        <v>1000000</v>
      </c>
      <c r="K7" s="8">
        <f>P6+J7+N6</f>
        <v>2184400</v>
      </c>
      <c r="L7" s="8">
        <f t="shared" si="0"/>
        <v>2359152</v>
      </c>
      <c r="M7" s="8">
        <v>400000</v>
      </c>
      <c r="N7" s="8">
        <f t="shared" ref="N7:N25" si="6">($M$2/100)*K7*0.87</f>
        <v>114025.68</v>
      </c>
      <c r="O7" s="6">
        <f t="shared" ref="O7:O25" si="7">IF((0.13*$K$2)&gt;52000,52000,(0.13*$K$2))</f>
        <v>52000</v>
      </c>
      <c r="P7" s="8">
        <f>L7+N7</f>
        <v>2473177.6800000002</v>
      </c>
      <c r="Q7" s="8">
        <f>P7-(P7-SUM(J4:J7)-SUM(N4:N7))*0.13</f>
        <v>2433273.92</v>
      </c>
      <c r="S7" s="8">
        <v>2</v>
      </c>
      <c r="T7" s="6">
        <f>$T$2</f>
        <v>1000000</v>
      </c>
      <c r="U7" s="8">
        <f t="shared" ref="U7:U25" si="8">W6+T7</f>
        <v>2200000</v>
      </c>
      <c r="V7" s="8">
        <f t="shared" ref="V7:V25" si="9">U7*(1+$U$2/100)</f>
        <v>2640000</v>
      </c>
      <c r="W7" s="8">
        <f>V7</f>
        <v>2640000</v>
      </c>
      <c r="X7" s="8">
        <f t="shared" si="1"/>
        <v>2640000</v>
      </c>
    </row>
    <row r="8" spans="1:25" x14ac:dyDescent="0.25">
      <c r="A8" s="6">
        <v>3</v>
      </c>
      <c r="B8" s="6">
        <v>1000000</v>
      </c>
      <c r="C8" s="6">
        <v>1</v>
      </c>
      <c r="D8" s="8">
        <f t="shared" ref="D8:D14" si="10">($D$2/100)*(B8+F7)</f>
        <v>259712</v>
      </c>
      <c r="E8" s="6">
        <f t="shared" si="2"/>
        <v>52000</v>
      </c>
      <c r="F8" s="8">
        <f t="shared" si="3"/>
        <v>3506112</v>
      </c>
      <c r="G8" s="8">
        <f>F8</f>
        <v>3506112</v>
      </c>
      <c r="I8" s="6">
        <v>3</v>
      </c>
      <c r="J8" s="6">
        <f t="shared" si="5"/>
        <v>1000000</v>
      </c>
      <c r="K8" s="8">
        <f t="shared" ref="K8:K14" si="11">P7+J8+N7</f>
        <v>3587203.3600000003</v>
      </c>
      <c r="L8" s="8">
        <f t="shared" si="0"/>
        <v>3874179.6288000005</v>
      </c>
      <c r="M8" s="8">
        <v>400000</v>
      </c>
      <c r="N8" s="8">
        <f t="shared" si="6"/>
        <v>187252.015392</v>
      </c>
      <c r="O8" s="6">
        <f t="shared" si="7"/>
        <v>52000</v>
      </c>
      <c r="P8" s="8">
        <f t="shared" ref="P8:P24" si="12">L8+N8</f>
        <v>4061431.6441920004</v>
      </c>
      <c r="Q8" s="8">
        <f>P8-(P8-SUM(J6:J8)-SUM(N6:N8))*0.13</f>
        <v>3969397.6308480003</v>
      </c>
      <c r="S8" s="6">
        <v>3</v>
      </c>
      <c r="T8" s="6">
        <f t="shared" ref="T8:T25" si="13">$T$2</f>
        <v>1000000</v>
      </c>
      <c r="U8" s="8">
        <f t="shared" si="8"/>
        <v>3640000</v>
      </c>
      <c r="V8" s="8">
        <f t="shared" si="9"/>
        <v>4368000</v>
      </c>
      <c r="W8" s="8">
        <f t="shared" ref="W8:W25" si="14">V8</f>
        <v>4368000</v>
      </c>
      <c r="X8" s="8">
        <f>W8</f>
        <v>4368000</v>
      </c>
      <c r="Y8" s="1"/>
    </row>
    <row r="9" spans="1:25" x14ac:dyDescent="0.25">
      <c r="A9" s="6">
        <v>4</v>
      </c>
      <c r="B9" s="6">
        <v>1000000</v>
      </c>
      <c r="C9" s="6">
        <v>1</v>
      </c>
      <c r="D9" s="8">
        <f t="shared" si="10"/>
        <v>360488.96000000002</v>
      </c>
      <c r="E9" s="6">
        <f t="shared" si="2"/>
        <v>52000</v>
      </c>
      <c r="F9" s="8">
        <f t="shared" si="3"/>
        <v>4866600.96</v>
      </c>
      <c r="G9" s="8">
        <f t="shared" si="4"/>
        <v>4866600.96</v>
      </c>
      <c r="I9" s="6">
        <v>4</v>
      </c>
      <c r="J9" s="6">
        <f>$J$2+O9</f>
        <v>1000000</v>
      </c>
      <c r="K9" s="8">
        <f t="shared" si="11"/>
        <v>5248683.6595840007</v>
      </c>
      <c r="L9" s="8">
        <f t="shared" si="0"/>
        <v>5668578.3523507211</v>
      </c>
      <c r="M9" s="8">
        <v>400000</v>
      </c>
      <c r="N9" s="8">
        <f t="shared" si="6"/>
        <v>273981.28703028482</v>
      </c>
      <c r="O9" s="6">
        <f t="shared" si="7"/>
        <v>52000</v>
      </c>
      <c r="P9" s="8">
        <f>L9+N9</f>
        <v>5942559.6393810064</v>
      </c>
      <c r="Q9" s="8">
        <f>P9-(P9-SUM(J6:J9)-SUM(N6:N9))*0.13</f>
        <v>5771596.5539763728</v>
      </c>
      <c r="S9" s="8">
        <v>4</v>
      </c>
      <c r="T9" s="6">
        <f t="shared" si="13"/>
        <v>1000000</v>
      </c>
      <c r="U9" s="8">
        <f t="shared" si="8"/>
        <v>5368000</v>
      </c>
      <c r="V9" s="8">
        <f t="shared" si="9"/>
        <v>6441600</v>
      </c>
      <c r="W9" s="8">
        <f t="shared" si="14"/>
        <v>6441600</v>
      </c>
      <c r="X9" s="8">
        <f t="shared" ref="X9:X25" si="15">W9</f>
        <v>6441600</v>
      </c>
      <c r="Y9" s="1"/>
    </row>
    <row r="10" spans="1:25" x14ac:dyDescent="0.25">
      <c r="A10" s="6">
        <v>5</v>
      </c>
      <c r="B10" s="6">
        <f t="shared" ref="B10:B24" si="16">$B$2+E9</f>
        <v>1000000</v>
      </c>
      <c r="C10" s="6">
        <v>1</v>
      </c>
      <c r="D10" s="8">
        <f t="shared" si="10"/>
        <v>469328.07679999998</v>
      </c>
      <c r="E10" s="6">
        <f t="shared" si="2"/>
        <v>52000</v>
      </c>
      <c r="F10" s="8">
        <f t="shared" si="3"/>
        <v>6335929.0367999999</v>
      </c>
      <c r="G10" s="8">
        <f t="shared" si="4"/>
        <v>6335929.0367999999</v>
      </c>
      <c r="I10" s="6">
        <v>5</v>
      </c>
      <c r="J10" s="6">
        <f t="shared" ref="J10:J25" si="17">$J$2+O10</f>
        <v>1000000</v>
      </c>
      <c r="K10" s="8">
        <f t="shared" si="11"/>
        <v>7216540.9264112916</v>
      </c>
      <c r="L10" s="8">
        <f t="shared" si="0"/>
        <v>7793864.2005241951</v>
      </c>
      <c r="M10" s="8">
        <v>400000</v>
      </c>
      <c r="N10" s="8">
        <f t="shared" si="6"/>
        <v>376703.43635866937</v>
      </c>
      <c r="O10" s="6">
        <f t="shared" si="7"/>
        <v>52000</v>
      </c>
      <c r="P10" s="8">
        <f t="shared" si="12"/>
        <v>8170567.6368828649</v>
      </c>
      <c r="Q10" s="8">
        <f>P10-(P10-SUM(J6:J10)-SUM(N6:N10))*0.13</f>
        <v>7888934.9585296167</v>
      </c>
      <c r="S10" s="6">
        <v>5</v>
      </c>
      <c r="T10" s="6">
        <f t="shared" si="13"/>
        <v>1000000</v>
      </c>
      <c r="U10" s="8">
        <f t="shared" si="8"/>
        <v>7441600</v>
      </c>
      <c r="V10" s="8">
        <f t="shared" si="9"/>
        <v>8929920</v>
      </c>
      <c r="W10" s="8">
        <f t="shared" si="14"/>
        <v>8929920</v>
      </c>
      <c r="X10" s="8">
        <f t="shared" si="15"/>
        <v>8929920</v>
      </c>
      <c r="Y10" s="1"/>
    </row>
    <row r="11" spans="1:25" x14ac:dyDescent="0.25">
      <c r="A11" s="6">
        <v>6</v>
      </c>
      <c r="B11" s="6">
        <f t="shared" si="16"/>
        <v>1000000</v>
      </c>
      <c r="C11" s="6">
        <v>1</v>
      </c>
      <c r="D11" s="8">
        <f t="shared" si="10"/>
        <v>586874.32294400001</v>
      </c>
      <c r="E11" s="6">
        <f t="shared" si="2"/>
        <v>52000</v>
      </c>
      <c r="F11" s="8">
        <f t="shared" si="3"/>
        <v>7922803.3597440002</v>
      </c>
      <c r="G11" s="8">
        <f t="shared" si="4"/>
        <v>7922803.3597440002</v>
      </c>
      <c r="I11" s="6">
        <v>6</v>
      </c>
      <c r="J11" s="6">
        <f t="shared" si="17"/>
        <v>1000000</v>
      </c>
      <c r="K11" s="8">
        <f t="shared" si="11"/>
        <v>9547271.0732415337</v>
      </c>
      <c r="L11" s="8">
        <f t="shared" si="0"/>
        <v>10311052.759100856</v>
      </c>
      <c r="M11" s="8">
        <v>400000</v>
      </c>
      <c r="N11" s="8">
        <f t="shared" si="6"/>
        <v>498367.55002320808</v>
      </c>
      <c r="O11" s="6">
        <f t="shared" si="7"/>
        <v>52000</v>
      </c>
      <c r="P11" s="8">
        <f t="shared" si="12"/>
        <v>10809420.309124064</v>
      </c>
      <c r="Q11" s="8">
        <f>P11-(P11-SUM(J6:J11)-SUM(N6:N11))*0.13</f>
        <v>10379524.564882476</v>
      </c>
      <c r="S11" s="8">
        <v>6</v>
      </c>
      <c r="T11" s="6">
        <f t="shared" si="13"/>
        <v>1000000</v>
      </c>
      <c r="U11" s="8">
        <f t="shared" si="8"/>
        <v>9929920</v>
      </c>
      <c r="V11" s="8">
        <f t="shared" si="9"/>
        <v>11915904</v>
      </c>
      <c r="W11" s="8">
        <f t="shared" si="14"/>
        <v>11915904</v>
      </c>
      <c r="X11" s="8">
        <f t="shared" si="15"/>
        <v>11915904</v>
      </c>
      <c r="Y11" s="1"/>
    </row>
    <row r="12" spans="1:25" x14ac:dyDescent="0.25">
      <c r="A12" s="6">
        <v>7</v>
      </c>
      <c r="B12" s="6">
        <f t="shared" si="16"/>
        <v>1000000</v>
      </c>
      <c r="C12" s="6">
        <v>1</v>
      </c>
      <c r="D12" s="8">
        <f t="shared" si="10"/>
        <v>713824.26877952006</v>
      </c>
      <c r="E12" s="6">
        <f t="shared" si="2"/>
        <v>52000</v>
      </c>
      <c r="F12" s="8">
        <f t="shared" si="3"/>
        <v>9636627.6285235211</v>
      </c>
      <c r="G12" s="8">
        <f t="shared" si="4"/>
        <v>9636627.6285235211</v>
      </c>
      <c r="I12" s="6">
        <v>7</v>
      </c>
      <c r="J12" s="6">
        <f t="shared" si="17"/>
        <v>1000000</v>
      </c>
      <c r="K12" s="8">
        <f t="shared" si="11"/>
        <v>12307787.859147271</v>
      </c>
      <c r="L12" s="8">
        <f t="shared" si="0"/>
        <v>13292410.887879053</v>
      </c>
      <c r="M12" s="8">
        <v>400000</v>
      </c>
      <c r="N12" s="8">
        <f t="shared" si="6"/>
        <v>642466.52624748752</v>
      </c>
      <c r="O12" s="6">
        <f t="shared" si="7"/>
        <v>52000</v>
      </c>
      <c r="P12" s="8">
        <f t="shared" si="12"/>
        <v>13934877.414126541</v>
      </c>
      <c r="Q12" s="8">
        <f>P12-(P12-SUM(J6:J12)-SUM(N6:N12))*0.13</f>
        <v>13312192.894646805</v>
      </c>
      <c r="S12" s="6">
        <v>7</v>
      </c>
      <c r="T12" s="6">
        <f t="shared" si="13"/>
        <v>1000000</v>
      </c>
      <c r="U12" s="8">
        <f t="shared" si="8"/>
        <v>12915904</v>
      </c>
      <c r="V12" s="8">
        <f t="shared" si="9"/>
        <v>15499084.799999999</v>
      </c>
      <c r="W12" s="8">
        <f t="shared" si="14"/>
        <v>15499084.799999999</v>
      </c>
      <c r="X12" s="8">
        <f t="shared" si="15"/>
        <v>15499084.799999999</v>
      </c>
      <c r="Y12" s="1"/>
    </row>
    <row r="13" spans="1:25" x14ac:dyDescent="0.25">
      <c r="A13" s="6">
        <v>8</v>
      </c>
      <c r="B13" s="6">
        <f t="shared" si="16"/>
        <v>1000000</v>
      </c>
      <c r="C13" s="6">
        <v>1</v>
      </c>
      <c r="D13" s="8">
        <f t="shared" si="10"/>
        <v>850930.21028188174</v>
      </c>
      <c r="E13" s="6">
        <f t="shared" si="2"/>
        <v>52000</v>
      </c>
      <c r="F13" s="8">
        <f t="shared" si="3"/>
        <v>11487557.838805404</v>
      </c>
      <c r="G13" s="8">
        <f t="shared" si="4"/>
        <v>11487557.838805404</v>
      </c>
      <c r="I13" s="6">
        <v>8</v>
      </c>
      <c r="J13" s="6">
        <f t="shared" si="17"/>
        <v>1000000</v>
      </c>
      <c r="K13" s="8">
        <f t="shared" si="11"/>
        <v>15577343.94037403</v>
      </c>
      <c r="L13" s="8">
        <f t="shared" si="0"/>
        <v>16823531.455603953</v>
      </c>
      <c r="M13" s="8">
        <v>400000</v>
      </c>
      <c r="N13" s="8">
        <f t="shared" si="6"/>
        <v>813137.35368752433</v>
      </c>
      <c r="O13" s="6">
        <f t="shared" si="7"/>
        <v>52000</v>
      </c>
      <c r="P13" s="8">
        <f t="shared" si="12"/>
        <v>17636668.809291478</v>
      </c>
      <c r="Q13" s="8">
        <f>P13-(P13-SUM(J6:J13)-SUM(N6:N13))*0.13</f>
        <v>16768459.264419679</v>
      </c>
      <c r="S13" s="8">
        <v>8</v>
      </c>
      <c r="T13" s="6">
        <f t="shared" si="13"/>
        <v>1000000</v>
      </c>
      <c r="U13" s="8">
        <f t="shared" si="8"/>
        <v>16499084.799999999</v>
      </c>
      <c r="V13" s="8">
        <f t="shared" si="9"/>
        <v>19798901.759999998</v>
      </c>
      <c r="W13" s="8">
        <f t="shared" si="14"/>
        <v>19798901.759999998</v>
      </c>
      <c r="X13" s="8">
        <f t="shared" si="15"/>
        <v>19798901.759999998</v>
      </c>
      <c r="Y13" s="1"/>
    </row>
    <row r="14" spans="1:25" x14ac:dyDescent="0.25">
      <c r="A14" s="6">
        <v>9</v>
      </c>
      <c r="B14" s="6">
        <f t="shared" si="16"/>
        <v>1000000</v>
      </c>
      <c r="C14" s="6">
        <v>1</v>
      </c>
      <c r="D14" s="8">
        <f t="shared" si="10"/>
        <v>999004.62710443232</v>
      </c>
      <c r="E14" s="6">
        <f t="shared" si="2"/>
        <v>52000</v>
      </c>
      <c r="F14" s="8">
        <f t="shared" si="3"/>
        <v>13486562.465909835</v>
      </c>
      <c r="G14" s="8">
        <f t="shared" si="4"/>
        <v>13486562.465909835</v>
      </c>
      <c r="I14" s="6">
        <v>9</v>
      </c>
      <c r="J14" s="6">
        <f t="shared" si="17"/>
        <v>1000000</v>
      </c>
      <c r="K14" s="8">
        <f t="shared" si="11"/>
        <v>19449806.162979003</v>
      </c>
      <c r="L14" s="8">
        <f t="shared" si="0"/>
        <v>21005790.656017326</v>
      </c>
      <c r="M14" s="8">
        <v>400000</v>
      </c>
      <c r="N14" s="8">
        <f t="shared" si="6"/>
        <v>1015279.881707504</v>
      </c>
      <c r="O14" s="6">
        <f t="shared" si="7"/>
        <v>52000</v>
      </c>
      <c r="P14" s="8">
        <f t="shared" si="12"/>
        <v>22021070.53772483</v>
      </c>
      <c r="Q14" s="8">
        <f>P14-(P14-SUM(J6:J14)-SUM(N6:N14))*0.13</f>
        <v>20844875.15277867</v>
      </c>
      <c r="S14" s="6">
        <v>9</v>
      </c>
      <c r="T14" s="6">
        <f t="shared" si="13"/>
        <v>1000000</v>
      </c>
      <c r="U14" s="8">
        <f t="shared" si="8"/>
        <v>20798901.759999998</v>
      </c>
      <c r="V14" s="8">
        <f t="shared" si="9"/>
        <v>24958682.111999996</v>
      </c>
      <c r="W14" s="8">
        <f t="shared" si="14"/>
        <v>24958682.111999996</v>
      </c>
      <c r="X14" s="8">
        <f t="shared" si="15"/>
        <v>24958682.111999996</v>
      </c>
      <c r="Y14" s="1"/>
    </row>
    <row r="15" spans="1:25" x14ac:dyDescent="0.25">
      <c r="A15" s="6">
        <v>10</v>
      </c>
      <c r="B15" s="6">
        <f t="shared" si="16"/>
        <v>1000000</v>
      </c>
      <c r="C15" s="6">
        <v>1</v>
      </c>
      <c r="D15" s="8">
        <f t="shared" ref="D15:D24" si="18">($D$2/100)*(B15+F14)</f>
        <v>1158924.9972727869</v>
      </c>
      <c r="E15" s="6">
        <f t="shared" si="2"/>
        <v>52000</v>
      </c>
      <c r="F15" s="8">
        <f t="shared" ref="F15:F25" si="19">(F14+B15)*C15+D15</f>
        <v>15645487.463182623</v>
      </c>
      <c r="G15" s="8">
        <f t="shared" ref="G15:G25" si="20">F15</f>
        <v>15645487.463182623</v>
      </c>
      <c r="I15" s="6">
        <v>10</v>
      </c>
      <c r="J15" s="6">
        <f t="shared" si="17"/>
        <v>1000000</v>
      </c>
      <c r="K15" s="8">
        <f t="shared" ref="K15:K25" si="21">P14+J15+N14</f>
        <v>24036350.419432335</v>
      </c>
      <c r="L15" s="8">
        <f t="shared" ref="L15:L24" si="22">K15*(1+$L$2/100)</f>
        <v>25959258.452986922</v>
      </c>
      <c r="M15" s="8">
        <v>400000</v>
      </c>
      <c r="N15" s="8">
        <f t="shared" si="6"/>
        <v>1254697.4918943678</v>
      </c>
      <c r="O15" s="6">
        <f t="shared" si="7"/>
        <v>52000</v>
      </c>
      <c r="P15" s="8">
        <f t="shared" si="12"/>
        <v>27213955.94488129</v>
      </c>
      <c r="Q15" s="8">
        <f>P15-(P15-SUM(J6:J15)-SUM(N6:N15))*0.13</f>
        <v>25655796.130951058</v>
      </c>
      <c r="S15" s="8">
        <v>10</v>
      </c>
      <c r="T15" s="6">
        <f t="shared" si="13"/>
        <v>1000000</v>
      </c>
      <c r="U15" s="8">
        <f t="shared" si="8"/>
        <v>25958682.111999996</v>
      </c>
      <c r="V15" s="8">
        <f t="shared" si="9"/>
        <v>31150418.534399994</v>
      </c>
      <c r="W15" s="8">
        <f t="shared" si="14"/>
        <v>31150418.534399994</v>
      </c>
      <c r="X15" s="8">
        <f t="shared" si="15"/>
        <v>31150418.534399994</v>
      </c>
      <c r="Y15" s="1"/>
    </row>
    <row r="16" spans="1:25" x14ac:dyDescent="0.25">
      <c r="A16" s="6">
        <v>11</v>
      </c>
      <c r="B16" s="6">
        <f t="shared" si="16"/>
        <v>1000000</v>
      </c>
      <c r="C16" s="6">
        <v>1</v>
      </c>
      <c r="D16" s="8">
        <f t="shared" si="18"/>
        <v>1331638.9970546099</v>
      </c>
      <c r="E16" s="6">
        <f t="shared" si="2"/>
        <v>52000</v>
      </c>
      <c r="F16" s="8">
        <f t="shared" si="19"/>
        <v>17977126.460237231</v>
      </c>
      <c r="G16" s="8">
        <f t="shared" si="20"/>
        <v>17977126.460237231</v>
      </c>
      <c r="I16" s="6">
        <v>11</v>
      </c>
      <c r="J16" s="6">
        <f t="shared" si="17"/>
        <v>1000000</v>
      </c>
      <c r="K16" s="8">
        <f t="shared" si="21"/>
        <v>29468653.436775658</v>
      </c>
      <c r="L16" s="8">
        <f t="shared" si="22"/>
        <v>31826145.711717714</v>
      </c>
      <c r="M16" s="8">
        <v>400000</v>
      </c>
      <c r="N16" s="8">
        <f t="shared" si="6"/>
        <v>1538263.7093996892</v>
      </c>
      <c r="O16" s="6">
        <f t="shared" si="7"/>
        <v>52000</v>
      </c>
      <c r="P16" s="8">
        <f t="shared" si="12"/>
        <v>33364409.421117403</v>
      </c>
      <c r="Q16" s="8">
        <f>P16-(P16-SUM(J6:J16)-SUM(N6:N16))*0.13</f>
        <v>31336664.937498435</v>
      </c>
      <c r="S16" s="6">
        <v>11</v>
      </c>
      <c r="T16" s="6">
        <f t="shared" si="13"/>
        <v>1000000</v>
      </c>
      <c r="U16" s="8">
        <f t="shared" si="8"/>
        <v>32150418.534399994</v>
      </c>
      <c r="V16" s="8">
        <f t="shared" si="9"/>
        <v>38580502.241279989</v>
      </c>
      <c r="W16" s="8">
        <f t="shared" si="14"/>
        <v>38580502.241279989</v>
      </c>
      <c r="X16" s="8">
        <f t="shared" si="15"/>
        <v>38580502.241279989</v>
      </c>
      <c r="Y16" s="1"/>
    </row>
    <row r="17" spans="1:25" x14ac:dyDescent="0.25">
      <c r="A17" s="6">
        <v>12</v>
      </c>
      <c r="B17" s="6">
        <f t="shared" si="16"/>
        <v>1000000</v>
      </c>
      <c r="C17" s="6">
        <v>1</v>
      </c>
      <c r="D17" s="8">
        <f t="shared" si="18"/>
        <v>1518170.1168189785</v>
      </c>
      <c r="E17" s="6">
        <f t="shared" si="2"/>
        <v>52000</v>
      </c>
      <c r="F17" s="8">
        <f t="shared" si="19"/>
        <v>20495296.57705621</v>
      </c>
      <c r="G17" s="8">
        <f t="shared" si="20"/>
        <v>20495296.57705621</v>
      </c>
      <c r="I17" s="6">
        <v>12</v>
      </c>
      <c r="J17" s="6">
        <f t="shared" si="17"/>
        <v>1000000</v>
      </c>
      <c r="K17" s="8">
        <f t="shared" si="21"/>
        <v>35902673.130517095</v>
      </c>
      <c r="L17" s="8">
        <f t="shared" si="22"/>
        <v>38774886.980958469</v>
      </c>
      <c r="M17" s="8">
        <v>400000</v>
      </c>
      <c r="N17" s="8">
        <f t="shared" si="6"/>
        <v>1874119.5374129924</v>
      </c>
      <c r="O17" s="6">
        <f t="shared" si="7"/>
        <v>52000</v>
      </c>
      <c r="P17" s="8">
        <f t="shared" si="12"/>
        <v>40649006.518371463</v>
      </c>
      <c r="Q17" s="8">
        <f>P17-(P17-SUM(J6:J17)-SUM(N6:N17))*0.13</f>
        <v>38047899.951973155</v>
      </c>
      <c r="S17" s="8">
        <v>12</v>
      </c>
      <c r="T17" s="6">
        <f t="shared" si="13"/>
        <v>1000000</v>
      </c>
      <c r="U17" s="8">
        <f t="shared" si="8"/>
        <v>39580502.241279989</v>
      </c>
      <c r="V17" s="8">
        <f t="shared" si="9"/>
        <v>47496602.689535983</v>
      </c>
      <c r="W17" s="8">
        <f t="shared" si="14"/>
        <v>47496602.689535983</v>
      </c>
      <c r="X17" s="8">
        <f t="shared" si="15"/>
        <v>47496602.689535983</v>
      </c>
      <c r="Y17" s="1"/>
    </row>
    <row r="18" spans="1:25" x14ac:dyDescent="0.25">
      <c r="A18" s="6">
        <v>13</v>
      </c>
      <c r="B18" s="6">
        <f t="shared" si="16"/>
        <v>1000000</v>
      </c>
      <c r="C18" s="6">
        <v>1</v>
      </c>
      <c r="D18" s="8">
        <f t="shared" si="18"/>
        <v>1719623.726164497</v>
      </c>
      <c r="E18" s="6">
        <f t="shared" si="2"/>
        <v>52000</v>
      </c>
      <c r="F18" s="8">
        <f t="shared" si="19"/>
        <v>23214920.303220708</v>
      </c>
      <c r="G18" s="8">
        <f t="shared" si="20"/>
        <v>23214920.303220708</v>
      </c>
      <c r="I18" s="6">
        <v>13</v>
      </c>
      <c r="J18" s="6">
        <f t="shared" si="17"/>
        <v>1000000</v>
      </c>
      <c r="K18" s="8">
        <f t="shared" si="21"/>
        <v>43523126.055784456</v>
      </c>
      <c r="L18" s="8">
        <f t="shared" si="22"/>
        <v>47004976.140247218</v>
      </c>
      <c r="M18" s="8">
        <v>400000</v>
      </c>
      <c r="N18" s="8">
        <f t="shared" si="6"/>
        <v>2271907.1801119484</v>
      </c>
      <c r="O18" s="6">
        <f t="shared" si="7"/>
        <v>52000</v>
      </c>
      <c r="P18" s="8">
        <f t="shared" si="12"/>
        <v>49276883.32035917</v>
      </c>
      <c r="Q18" s="8">
        <f>P18-(P18-SUM(J6:J18)-SUM(N6:N18))*0.13</f>
        <v>45979500.703117013</v>
      </c>
      <c r="S18" s="6">
        <v>13</v>
      </c>
      <c r="T18" s="6">
        <f t="shared" si="13"/>
        <v>1000000</v>
      </c>
      <c r="U18" s="8">
        <f t="shared" si="8"/>
        <v>48496602.689535983</v>
      </c>
      <c r="V18" s="8">
        <f t="shared" si="9"/>
        <v>58195923.227443181</v>
      </c>
      <c r="W18" s="8">
        <f t="shared" si="14"/>
        <v>58195923.227443181</v>
      </c>
      <c r="X18" s="8">
        <f t="shared" si="15"/>
        <v>58195923.227443181</v>
      </c>
      <c r="Y18" s="1"/>
    </row>
    <row r="19" spans="1:25" x14ac:dyDescent="0.25">
      <c r="A19" s="6">
        <v>14</v>
      </c>
      <c r="B19" s="6">
        <f t="shared" si="16"/>
        <v>1000000</v>
      </c>
      <c r="C19" s="6">
        <v>1</v>
      </c>
      <c r="D19" s="8">
        <f t="shared" si="18"/>
        <v>1937193.6242576567</v>
      </c>
      <c r="E19" s="6">
        <f t="shared" si="2"/>
        <v>52000</v>
      </c>
      <c r="F19" s="8">
        <f t="shared" si="19"/>
        <v>26152113.927478366</v>
      </c>
      <c r="G19" s="8">
        <f t="shared" si="20"/>
        <v>26152113.927478366</v>
      </c>
      <c r="I19" s="6">
        <v>14</v>
      </c>
      <c r="J19" s="6">
        <f t="shared" si="17"/>
        <v>1000000</v>
      </c>
      <c r="K19" s="8">
        <f t="shared" si="21"/>
        <v>52548790.500471115</v>
      </c>
      <c r="L19" s="8">
        <f t="shared" si="22"/>
        <v>56752693.74050881</v>
      </c>
      <c r="M19" s="8">
        <v>400000</v>
      </c>
      <c r="N19" s="8">
        <f t="shared" si="6"/>
        <v>2743046.8641245919</v>
      </c>
      <c r="O19" s="6">
        <f t="shared" si="7"/>
        <v>52000</v>
      </c>
      <c r="P19" s="8">
        <f t="shared" si="12"/>
        <v>59495740.604633398</v>
      </c>
      <c r="Q19" s="8">
        <f>P19-(P19-SUM(J6:J19)-SUM(N6:N19))*0.13</f>
        <v>55356502.63277179</v>
      </c>
      <c r="S19" s="8">
        <v>14</v>
      </c>
      <c r="T19" s="6">
        <f t="shared" si="13"/>
        <v>1000000</v>
      </c>
      <c r="U19" s="8">
        <f t="shared" si="8"/>
        <v>59195923.227443181</v>
      </c>
      <c r="V19" s="8">
        <f t="shared" si="9"/>
        <v>71035107.872931808</v>
      </c>
      <c r="W19" s="8">
        <f t="shared" si="14"/>
        <v>71035107.872931808</v>
      </c>
      <c r="X19" s="8">
        <f t="shared" si="15"/>
        <v>71035107.872931808</v>
      </c>
      <c r="Y19" s="1"/>
    </row>
    <row r="20" spans="1:25" x14ac:dyDescent="0.25">
      <c r="A20" s="6">
        <v>15</v>
      </c>
      <c r="B20" s="6">
        <f t="shared" si="16"/>
        <v>1000000</v>
      </c>
      <c r="C20" s="6">
        <v>1</v>
      </c>
      <c r="D20" s="8">
        <f t="shared" si="18"/>
        <v>2172169.1141982693</v>
      </c>
      <c r="E20" s="6">
        <f t="shared" si="2"/>
        <v>52000</v>
      </c>
      <c r="F20" s="8">
        <f t="shared" si="19"/>
        <v>29324283.041676633</v>
      </c>
      <c r="G20" s="8">
        <f t="shared" si="20"/>
        <v>29324283.041676633</v>
      </c>
      <c r="I20" s="6">
        <v>15</v>
      </c>
      <c r="J20" s="6">
        <f t="shared" si="17"/>
        <v>1000000</v>
      </c>
      <c r="K20" s="8">
        <f t="shared" si="21"/>
        <v>63238787.468757987</v>
      </c>
      <c r="L20" s="8">
        <f t="shared" si="22"/>
        <v>68297890.46625863</v>
      </c>
      <c r="M20" s="8">
        <v>400000</v>
      </c>
      <c r="N20" s="8">
        <f t="shared" si="6"/>
        <v>3301064.7058691666</v>
      </c>
      <c r="O20" s="6">
        <f t="shared" si="7"/>
        <v>52000</v>
      </c>
      <c r="P20" s="8">
        <f t="shared" si="12"/>
        <v>71598955.172127798</v>
      </c>
      <c r="Q20" s="8">
        <f>P20-(P20-SUM(J6:J20)-SUM(N6:N20))*0.13</f>
        <v>66445437.718254909</v>
      </c>
      <c r="S20" s="6">
        <v>15</v>
      </c>
      <c r="T20" s="6">
        <f t="shared" si="13"/>
        <v>1000000</v>
      </c>
      <c r="U20" s="8">
        <f t="shared" si="8"/>
        <v>72035107.872931808</v>
      </c>
      <c r="V20" s="8">
        <f t="shared" si="9"/>
        <v>86442129.44751817</v>
      </c>
      <c r="W20" s="8">
        <f t="shared" si="14"/>
        <v>86442129.44751817</v>
      </c>
      <c r="X20" s="8">
        <f t="shared" si="15"/>
        <v>86442129.44751817</v>
      </c>
      <c r="Y20" s="1"/>
    </row>
    <row r="21" spans="1:25" x14ac:dyDescent="0.25">
      <c r="A21" s="6">
        <v>16</v>
      </c>
      <c r="B21" s="6">
        <f t="shared" si="16"/>
        <v>1000000</v>
      </c>
      <c r="C21" s="6">
        <v>1</v>
      </c>
      <c r="D21" s="8">
        <f t="shared" si="18"/>
        <v>2425942.6433341308</v>
      </c>
      <c r="E21" s="6">
        <f t="shared" si="2"/>
        <v>52000</v>
      </c>
      <c r="F21" s="8">
        <f t="shared" si="19"/>
        <v>32750225.685010765</v>
      </c>
      <c r="G21" s="8">
        <f t="shared" si="20"/>
        <v>32750225.685010765</v>
      </c>
      <c r="I21" s="6">
        <v>16</v>
      </c>
      <c r="J21" s="6">
        <f t="shared" si="17"/>
        <v>1000000</v>
      </c>
      <c r="K21" s="8">
        <f t="shared" si="21"/>
        <v>75900019.877996966</v>
      </c>
      <c r="L21" s="8">
        <f t="shared" si="22"/>
        <v>81972021.46823673</v>
      </c>
      <c r="M21" s="8">
        <v>400000</v>
      </c>
      <c r="N21" s="8">
        <f t="shared" si="6"/>
        <v>3961981.0376314414</v>
      </c>
      <c r="O21" s="6">
        <f t="shared" si="7"/>
        <v>52000</v>
      </c>
      <c r="P21" s="8">
        <f t="shared" si="12"/>
        <v>85934002.505868167</v>
      </c>
      <c r="Q21" s="8">
        <f>P21-(P21-SUM(J6:J21)-SUM(N6:N21))*0.13</f>
        <v>79561986.433501124</v>
      </c>
      <c r="S21" s="8">
        <v>16</v>
      </c>
      <c r="T21" s="6">
        <f t="shared" si="13"/>
        <v>1000000</v>
      </c>
      <c r="U21" s="8">
        <f t="shared" si="8"/>
        <v>87442129.44751817</v>
      </c>
      <c r="V21" s="8">
        <f t="shared" si="9"/>
        <v>104930555.3370218</v>
      </c>
      <c r="W21" s="8">
        <f t="shared" si="14"/>
        <v>104930555.3370218</v>
      </c>
      <c r="X21" s="8">
        <f t="shared" si="15"/>
        <v>104930555.3370218</v>
      </c>
      <c r="Y21" s="1"/>
    </row>
    <row r="22" spans="1:25" x14ac:dyDescent="0.25">
      <c r="A22" s="6">
        <v>17</v>
      </c>
      <c r="B22" s="6">
        <f t="shared" si="16"/>
        <v>1000000</v>
      </c>
      <c r="C22" s="6">
        <v>1</v>
      </c>
      <c r="D22" s="8">
        <f t="shared" si="18"/>
        <v>2700018.054800861</v>
      </c>
      <c r="E22" s="6">
        <f t="shared" si="2"/>
        <v>52000</v>
      </c>
      <c r="F22" s="8">
        <f t="shared" si="19"/>
        <v>36450243.739811622</v>
      </c>
      <c r="G22" s="8">
        <f t="shared" si="20"/>
        <v>36450243.739811622</v>
      </c>
      <c r="I22" s="6">
        <v>17</v>
      </c>
      <c r="J22" s="6">
        <f t="shared" si="17"/>
        <v>1000000</v>
      </c>
      <c r="K22" s="8">
        <f t="shared" si="21"/>
        <v>90895983.543499604</v>
      </c>
      <c r="L22" s="8">
        <f t="shared" si="22"/>
        <v>98167662.226979584</v>
      </c>
      <c r="M22" s="8">
        <v>400000</v>
      </c>
      <c r="N22" s="8">
        <f t="shared" si="6"/>
        <v>4744770.3409706792</v>
      </c>
      <c r="O22" s="6">
        <f t="shared" si="7"/>
        <v>52000</v>
      </c>
      <c r="P22" s="8">
        <f t="shared" si="12"/>
        <v>102912432.56795026</v>
      </c>
      <c r="Q22" s="8">
        <f>P22-(P22-SUM(J6:J22)-SUM(N6:N22))*0.13</f>
        <v>95080040.731838733</v>
      </c>
      <c r="S22" s="6">
        <v>17</v>
      </c>
      <c r="T22" s="6">
        <f t="shared" si="13"/>
        <v>1000000</v>
      </c>
      <c r="U22" s="8">
        <f t="shared" si="8"/>
        <v>105930555.3370218</v>
      </c>
      <c r="V22" s="8">
        <f t="shared" si="9"/>
        <v>127116666.40442616</v>
      </c>
      <c r="W22" s="8">
        <f t="shared" si="14"/>
        <v>127116666.40442616</v>
      </c>
      <c r="X22" s="8">
        <f t="shared" si="15"/>
        <v>127116666.40442616</v>
      </c>
      <c r="Y22" s="1"/>
    </row>
    <row r="23" spans="1:25" x14ac:dyDescent="0.25">
      <c r="A23" s="6">
        <v>18</v>
      </c>
      <c r="B23" s="6">
        <f t="shared" si="16"/>
        <v>1000000</v>
      </c>
      <c r="C23" s="6">
        <v>1</v>
      </c>
      <c r="D23" s="8">
        <f t="shared" si="18"/>
        <v>2996019.4991849298</v>
      </c>
      <c r="E23" s="6">
        <f t="shared" si="2"/>
        <v>52000</v>
      </c>
      <c r="F23" s="8">
        <f t="shared" si="19"/>
        <v>40446263.23899655</v>
      </c>
      <c r="G23" s="8">
        <f t="shared" si="20"/>
        <v>40446263.23899655</v>
      </c>
      <c r="I23" s="6">
        <v>18</v>
      </c>
      <c r="J23" s="6">
        <f t="shared" si="17"/>
        <v>1000000</v>
      </c>
      <c r="K23" s="8">
        <f t="shared" si="21"/>
        <v>108657202.90892094</v>
      </c>
      <c r="L23" s="8">
        <f t="shared" si="22"/>
        <v>117349779.14163463</v>
      </c>
      <c r="M23" s="8">
        <v>400000</v>
      </c>
      <c r="N23" s="8">
        <f t="shared" si="6"/>
        <v>5671905.991845673</v>
      </c>
      <c r="O23" s="6">
        <f t="shared" si="7"/>
        <v>52000</v>
      </c>
      <c r="P23" s="8">
        <f t="shared" si="12"/>
        <v>123021685.1334803</v>
      </c>
      <c r="Q23" s="8">
        <f>P23-(P23-SUM(J6:J23)-SUM(N6:N23))*0.13</f>
        <v>113442438.24278979</v>
      </c>
      <c r="S23" s="8">
        <v>18</v>
      </c>
      <c r="T23" s="6">
        <f t="shared" si="13"/>
        <v>1000000</v>
      </c>
      <c r="U23" s="8">
        <f t="shared" si="8"/>
        <v>128116666.40442616</v>
      </c>
      <c r="V23" s="8">
        <f t="shared" si="9"/>
        <v>153739999.68531138</v>
      </c>
      <c r="W23" s="8">
        <f t="shared" si="14"/>
        <v>153739999.68531138</v>
      </c>
      <c r="X23" s="8">
        <f t="shared" si="15"/>
        <v>153739999.68531138</v>
      </c>
      <c r="Y23" s="1"/>
    </row>
    <row r="24" spans="1:25" x14ac:dyDescent="0.25">
      <c r="A24" s="6">
        <v>19</v>
      </c>
      <c r="B24" s="6">
        <f t="shared" si="16"/>
        <v>1000000</v>
      </c>
      <c r="C24" s="6">
        <v>1</v>
      </c>
      <c r="D24" s="8">
        <f t="shared" si="18"/>
        <v>3315701.0591197242</v>
      </c>
      <c r="E24" s="6">
        <f t="shared" si="2"/>
        <v>52000</v>
      </c>
      <c r="F24" s="8">
        <f>(F23+B24)*C24+D24</f>
        <v>44761964.298116274</v>
      </c>
      <c r="G24" s="8">
        <f t="shared" si="20"/>
        <v>44761964.298116274</v>
      </c>
      <c r="I24" s="6">
        <v>19</v>
      </c>
      <c r="J24" s="6">
        <f t="shared" si="17"/>
        <v>1000000</v>
      </c>
      <c r="K24" s="8">
        <f t="shared" si="21"/>
        <v>129693591.12532596</v>
      </c>
      <c r="L24" s="8">
        <f t="shared" si="22"/>
        <v>140069078.41535205</v>
      </c>
      <c r="M24" s="8">
        <v>400000</v>
      </c>
      <c r="N24" s="8">
        <f t="shared" si="6"/>
        <v>6770005.4567420147</v>
      </c>
      <c r="O24" s="6">
        <f t="shared" si="7"/>
        <v>52000</v>
      </c>
      <c r="P24" s="8">
        <f t="shared" si="12"/>
        <v>146839083.87209406</v>
      </c>
      <c r="Q24" s="8">
        <f>P24-(P24-SUM(J6:J24)-SUM(N6:N24))*0.13</f>
        <v>135173675.85476023</v>
      </c>
      <c r="S24" s="6">
        <v>19</v>
      </c>
      <c r="T24" s="6">
        <f t="shared" si="13"/>
        <v>1000000</v>
      </c>
      <c r="U24" s="8">
        <f t="shared" si="8"/>
        <v>154739999.68531138</v>
      </c>
      <c r="V24" s="8">
        <f t="shared" si="9"/>
        <v>185687999.62237364</v>
      </c>
      <c r="W24" s="8">
        <f t="shared" si="14"/>
        <v>185687999.62237364</v>
      </c>
      <c r="X24" s="8">
        <f t="shared" si="15"/>
        <v>185687999.62237364</v>
      </c>
      <c r="Y24" s="1"/>
    </row>
    <row r="25" spans="1:25" x14ac:dyDescent="0.25">
      <c r="A25" s="6">
        <v>20</v>
      </c>
      <c r="B25" s="6">
        <f t="shared" ref="B25" si="23">$B$2+E24</f>
        <v>1000000</v>
      </c>
      <c r="C25" s="6">
        <v>1</v>
      </c>
      <c r="D25" s="8">
        <f t="shared" ref="D25" si="24">($D$2/100)*(B25+F24)</f>
        <v>3660957.1438493021</v>
      </c>
      <c r="E25" s="6">
        <f t="shared" si="2"/>
        <v>52000</v>
      </c>
      <c r="F25" s="8">
        <f t="shared" si="19"/>
        <v>49422921.44196558</v>
      </c>
      <c r="G25" s="8">
        <f t="shared" si="20"/>
        <v>49422921.44196558</v>
      </c>
      <c r="I25" s="6">
        <v>20</v>
      </c>
      <c r="J25" s="6">
        <f t="shared" si="17"/>
        <v>1000000</v>
      </c>
      <c r="K25" s="8">
        <f t="shared" si="21"/>
        <v>154609089.32883608</v>
      </c>
      <c r="L25" s="8">
        <f>K25*(1+$L$2/100)</f>
        <v>166977816.47514299</v>
      </c>
      <c r="M25" s="8">
        <v>400000</v>
      </c>
      <c r="N25" s="8">
        <f t="shared" si="6"/>
        <v>8070594.4629652435</v>
      </c>
      <c r="O25" s="6">
        <f t="shared" si="7"/>
        <v>52000</v>
      </c>
      <c r="P25" s="11">
        <f>L25+N25</f>
        <v>175048410.93810824</v>
      </c>
      <c r="Q25" s="12">
        <f>P25-(P25-SUM(J6:J25)-SUM(N6:N25))*0.13</f>
        <v>160894967.68237805</v>
      </c>
      <c r="S25" s="8">
        <v>20</v>
      </c>
      <c r="T25" s="6">
        <f t="shared" si="13"/>
        <v>1000000</v>
      </c>
      <c r="U25" s="8">
        <f t="shared" si="8"/>
        <v>186687999.62237364</v>
      </c>
      <c r="V25" s="8">
        <f t="shared" si="9"/>
        <v>224025599.54684836</v>
      </c>
      <c r="W25" s="8">
        <f t="shared" si="14"/>
        <v>224025599.54684836</v>
      </c>
      <c r="X25" s="8">
        <f t="shared" si="15"/>
        <v>224025599.54684836</v>
      </c>
      <c r="Y25" s="1"/>
    </row>
    <row r="26" spans="1:25" x14ac:dyDescent="0.25">
      <c r="D26" s="1"/>
      <c r="F26" s="1"/>
      <c r="G26" s="1"/>
      <c r="J26" s="5">
        <f>SUM(J6:J25)</f>
        <v>20000000</v>
      </c>
      <c r="K26" s="1"/>
      <c r="L26" s="1"/>
      <c r="M26" s="1"/>
      <c r="N26" s="5">
        <f>SUM(N6:N25)</f>
        <v>46175770.509414487</v>
      </c>
      <c r="P26" s="3">
        <f>P25-O28</f>
        <v>160894967.68237805</v>
      </c>
      <c r="Q26" s="1"/>
      <c r="S26" s="1"/>
      <c r="U26" s="1"/>
      <c r="V26" s="1"/>
      <c r="W26" s="1"/>
      <c r="X26" s="1"/>
      <c r="Y26" s="1"/>
    </row>
    <row r="27" spans="1:25" x14ac:dyDescent="0.25">
      <c r="K27" s="1"/>
      <c r="L27" s="1"/>
      <c r="M27" s="1"/>
      <c r="N27" s="1"/>
      <c r="P27" s="1"/>
      <c r="Q27" s="1"/>
      <c r="S27" s="1"/>
      <c r="U27" s="1"/>
      <c r="V27" s="1"/>
      <c r="W27" s="1"/>
      <c r="X27" s="1"/>
      <c r="Y27" s="1"/>
    </row>
    <row r="28" spans="1:25" ht="46.5" customHeight="1" x14ac:dyDescent="0.25">
      <c r="B28" s="17" t="s">
        <v>30</v>
      </c>
      <c r="C28" s="17"/>
      <c r="D28" s="17"/>
      <c r="E28" s="17"/>
      <c r="F28" s="17"/>
      <c r="G28" s="17"/>
      <c r="J28" s="1" t="s">
        <v>6</v>
      </c>
      <c r="K28" s="1"/>
      <c r="L28" s="1"/>
      <c r="M28" s="1">
        <f>P25-J26-N26</f>
        <v>108872640.42869374</v>
      </c>
      <c r="N28" s="1" t="s">
        <v>7</v>
      </c>
      <c r="O28" s="4">
        <f>M28*0.13</f>
        <v>14153443.255730188</v>
      </c>
      <c r="P28" s="1"/>
      <c r="Q28" s="1"/>
      <c r="S28" s="1"/>
      <c r="U28" s="1"/>
      <c r="V28" s="13">
        <f>X25*0.1</f>
        <v>22402559.954684839</v>
      </c>
      <c r="W28" s="1"/>
      <c r="X28" s="1"/>
      <c r="Y28" s="1"/>
    </row>
    <row r="29" spans="1:25" x14ac:dyDescent="0.25">
      <c r="D29" s="1"/>
      <c r="F29" s="1"/>
      <c r="G29" s="1"/>
      <c r="J29" s="1" t="s">
        <v>8</v>
      </c>
      <c r="K29" s="1"/>
      <c r="L29" s="1"/>
      <c r="M29" s="1"/>
      <c r="N29" s="1"/>
      <c r="P29" s="1"/>
      <c r="Q29" s="1"/>
      <c r="T29" s="22" t="s">
        <v>29</v>
      </c>
      <c r="U29" s="22"/>
      <c r="V29" s="22"/>
      <c r="W29" s="22"/>
      <c r="X29" s="22"/>
      <c r="Y29" s="1"/>
    </row>
    <row r="30" spans="1:25" x14ac:dyDescent="0.25">
      <c r="J30" t="s">
        <v>9</v>
      </c>
      <c r="T30" s="22"/>
      <c r="U30" s="22"/>
      <c r="V30" s="22"/>
      <c r="W30" s="22"/>
      <c r="X30" s="22"/>
    </row>
    <row r="31" spans="1:25" x14ac:dyDescent="0.25">
      <c r="T31" s="22"/>
      <c r="U31" s="22"/>
      <c r="V31" s="22"/>
      <c r="W31" s="22"/>
      <c r="X31" s="22"/>
    </row>
    <row r="32" spans="1:25" x14ac:dyDescent="0.25">
      <c r="T32" s="22"/>
      <c r="U32" s="22"/>
      <c r="V32" s="22"/>
      <c r="W32" s="22"/>
      <c r="X32" s="22"/>
    </row>
    <row r="56" spans="2:2" x14ac:dyDescent="0.25">
      <c r="B56" t="s">
        <v>10</v>
      </c>
    </row>
    <row r="57" spans="2:2" x14ac:dyDescent="0.25">
      <c r="B57" t="s">
        <v>11</v>
      </c>
    </row>
    <row r="58" spans="2:2" x14ac:dyDescent="0.25">
      <c r="B58" t="s">
        <v>12</v>
      </c>
    </row>
  </sheetData>
  <mergeCells count="11">
    <mergeCell ref="B28:G28"/>
    <mergeCell ref="U1:V1"/>
    <mergeCell ref="U2:V2"/>
    <mergeCell ref="T4:X4"/>
    <mergeCell ref="T29:X32"/>
    <mergeCell ref="B3:G3"/>
    <mergeCell ref="J3:Q3"/>
    <mergeCell ref="T3:X3"/>
    <mergeCell ref="B4:G4"/>
    <mergeCell ref="J4:Q4"/>
    <mergeCell ref="J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zoomScale="120" zoomScaleNormal="120" workbookViewId="0">
      <selection activeCell="J13" sqref="J13"/>
    </sheetView>
  </sheetViews>
  <sheetFormatPr defaultRowHeight="15" x14ac:dyDescent="0.25"/>
  <cols>
    <col min="1" max="1" width="3.28515625" customWidth="1"/>
    <col min="2" max="2" width="5.42578125" customWidth="1"/>
    <col min="3" max="3" width="12.28515625" customWidth="1"/>
    <col min="4" max="4" width="9.28515625" bestFit="1" customWidth="1"/>
    <col min="5" max="5" width="11.28515625" customWidth="1"/>
    <col min="6" max="6" width="10.85546875" customWidth="1"/>
    <col min="7" max="7" width="12.7109375" customWidth="1"/>
  </cols>
  <sheetData>
    <row r="2" spans="2:7" x14ac:dyDescent="0.25">
      <c r="B2" s="25" t="s">
        <v>38</v>
      </c>
      <c r="C2" s="25"/>
      <c r="D2" s="25"/>
      <c r="E2" s="25"/>
      <c r="F2" s="25"/>
      <c r="G2" s="25"/>
    </row>
    <row r="4" spans="2:7" ht="15" customHeight="1" x14ac:dyDescent="0.25">
      <c r="B4" s="27" t="s">
        <v>27</v>
      </c>
      <c r="C4" s="18" t="s">
        <v>13</v>
      </c>
      <c r="D4" s="18" t="s">
        <v>33</v>
      </c>
      <c r="E4" s="27" t="s">
        <v>35</v>
      </c>
      <c r="F4" s="27" t="s">
        <v>34</v>
      </c>
      <c r="G4" s="27" t="s">
        <v>36</v>
      </c>
    </row>
    <row r="5" spans="2:7" ht="15" customHeight="1" x14ac:dyDescent="0.25">
      <c r="B5" s="28"/>
      <c r="C5" s="18"/>
      <c r="D5" s="18"/>
      <c r="E5" s="28"/>
      <c r="F5" s="28"/>
      <c r="G5" s="28"/>
    </row>
    <row r="6" spans="2:7" x14ac:dyDescent="0.25">
      <c r="B6" s="29"/>
      <c r="C6" s="8">
        <v>100000</v>
      </c>
      <c r="D6" s="15">
        <v>0.08</v>
      </c>
      <c r="E6" s="29"/>
      <c r="F6" s="29"/>
      <c r="G6" s="29"/>
    </row>
    <row r="7" spans="2:7" x14ac:dyDescent="0.25">
      <c r="B7" s="6">
        <v>1</v>
      </c>
      <c r="C7" s="8">
        <v>100000</v>
      </c>
      <c r="D7" s="16">
        <f>C7*$D$6</f>
        <v>8000</v>
      </c>
      <c r="E7" s="8"/>
      <c r="F7" s="8">
        <f>C7+D7</f>
        <v>108000</v>
      </c>
      <c r="G7" s="15">
        <f>(F7/C7)</f>
        <v>1.08</v>
      </c>
    </row>
    <row r="8" spans="2:7" x14ac:dyDescent="0.25">
      <c r="B8" s="6">
        <v>2</v>
      </c>
      <c r="C8" s="8">
        <f>F7+$C$6</f>
        <v>208000</v>
      </c>
      <c r="D8" s="16">
        <f t="shared" ref="D8:D16" si="0">C8*$D$6</f>
        <v>16640</v>
      </c>
      <c r="E8" s="8">
        <f t="shared" ref="E8:E9" si="1">$C$6*0.13</f>
        <v>13000</v>
      </c>
      <c r="F8" s="8">
        <f t="shared" ref="F8:F9" si="2">C8+D8+E8</f>
        <v>237640</v>
      </c>
      <c r="G8" s="15">
        <f>(F8/C8)</f>
        <v>1.1425000000000001</v>
      </c>
    </row>
    <row r="9" spans="2:7" x14ac:dyDescent="0.25">
      <c r="B9" s="6">
        <v>3</v>
      </c>
      <c r="C9" s="8">
        <f t="shared" ref="C9:C16" si="3">F8+$C$6</f>
        <v>337640</v>
      </c>
      <c r="D9" s="16">
        <f t="shared" si="0"/>
        <v>27011.200000000001</v>
      </c>
      <c r="E9" s="8">
        <f t="shared" si="1"/>
        <v>13000</v>
      </c>
      <c r="F9" s="8">
        <f t="shared" si="2"/>
        <v>377651.20000000001</v>
      </c>
      <c r="G9" s="15">
        <f t="shared" ref="G9:G16" si="4">(F9/C9)</f>
        <v>1.1185025470915768</v>
      </c>
    </row>
    <row r="10" spans="2:7" x14ac:dyDescent="0.25">
      <c r="B10" s="6">
        <v>4</v>
      </c>
      <c r="C10" s="8">
        <f t="shared" si="3"/>
        <v>477651.20000000001</v>
      </c>
      <c r="D10" s="16">
        <f t="shared" si="0"/>
        <v>38212.096000000005</v>
      </c>
      <c r="E10" s="8">
        <f>$C$6*0.13</f>
        <v>13000</v>
      </c>
      <c r="F10" s="8">
        <f>C10+D10+E10</f>
        <v>528863.29600000009</v>
      </c>
      <c r="G10" s="15">
        <f>(F10/C10)</f>
        <v>1.1072165128026479</v>
      </c>
    </row>
    <row r="11" spans="2:7" x14ac:dyDescent="0.25">
      <c r="B11" s="6">
        <v>5</v>
      </c>
      <c r="C11" s="8">
        <f t="shared" si="3"/>
        <v>628863.29600000009</v>
      </c>
      <c r="D11" s="16">
        <f t="shared" si="0"/>
        <v>50309.063680000007</v>
      </c>
      <c r="E11" s="8">
        <f t="shared" ref="E11:E16" si="5">$C$6*0.13</f>
        <v>13000</v>
      </c>
      <c r="F11" s="8">
        <f t="shared" ref="F11:F16" si="6">C11+D11+E11</f>
        <v>692172.35968000011</v>
      </c>
      <c r="G11" s="15">
        <f t="shared" si="4"/>
        <v>1.1006722193562399</v>
      </c>
    </row>
    <row r="12" spans="2:7" x14ac:dyDescent="0.25">
      <c r="B12" s="6">
        <v>6</v>
      </c>
      <c r="C12" s="8">
        <f t="shared" si="3"/>
        <v>792172.35968000011</v>
      </c>
      <c r="D12" s="16">
        <f t="shared" si="0"/>
        <v>63373.788774400011</v>
      </c>
      <c r="E12" s="8">
        <f t="shared" si="5"/>
        <v>13000</v>
      </c>
      <c r="F12" s="8">
        <f t="shared" si="6"/>
        <v>868546.14845440013</v>
      </c>
      <c r="G12" s="15">
        <f t="shared" si="4"/>
        <v>1.0964105700497444</v>
      </c>
    </row>
    <row r="13" spans="2:7" x14ac:dyDescent="0.25">
      <c r="B13" s="6">
        <v>7</v>
      </c>
      <c r="C13" s="8">
        <f t="shared" si="3"/>
        <v>968546.14845440013</v>
      </c>
      <c r="D13" s="16">
        <f t="shared" si="0"/>
        <v>77483.691876352008</v>
      </c>
      <c r="E13" s="8">
        <f t="shared" si="5"/>
        <v>13000</v>
      </c>
      <c r="F13" s="8">
        <f t="shared" si="6"/>
        <v>1059029.8403307521</v>
      </c>
      <c r="G13" s="15">
        <f t="shared" si="4"/>
        <v>1.0934221792330137</v>
      </c>
    </row>
    <row r="14" spans="2:7" x14ac:dyDescent="0.25">
      <c r="B14" s="6">
        <v>8</v>
      </c>
      <c r="C14" s="8">
        <f t="shared" si="3"/>
        <v>1159029.8403307521</v>
      </c>
      <c r="D14" s="16">
        <f t="shared" si="0"/>
        <v>92722.387226460167</v>
      </c>
      <c r="E14" s="8">
        <f t="shared" si="5"/>
        <v>13000</v>
      </c>
      <c r="F14" s="8">
        <f t="shared" si="6"/>
        <v>1264752.2275572123</v>
      </c>
      <c r="G14" s="15">
        <f t="shared" si="4"/>
        <v>1.0912162772239671</v>
      </c>
    </row>
    <row r="15" spans="2:7" x14ac:dyDescent="0.25">
      <c r="B15" s="6">
        <v>9</v>
      </c>
      <c r="C15" s="8">
        <f t="shared" si="3"/>
        <v>1364752.2275572123</v>
      </c>
      <c r="D15" s="16">
        <f t="shared" si="0"/>
        <v>109180.17820457699</v>
      </c>
      <c r="E15" s="8">
        <f t="shared" si="5"/>
        <v>13000</v>
      </c>
      <c r="F15" s="8">
        <f t="shared" si="6"/>
        <v>1486932.4057617893</v>
      </c>
      <c r="G15" s="15">
        <f t="shared" si="4"/>
        <v>1.0895255385831235</v>
      </c>
    </row>
    <row r="16" spans="2:7" x14ac:dyDescent="0.25">
      <c r="B16" s="6">
        <v>10</v>
      </c>
      <c r="C16" s="8">
        <f t="shared" si="3"/>
        <v>1586932.4057617893</v>
      </c>
      <c r="D16" s="16">
        <f t="shared" si="0"/>
        <v>126954.59246094315</v>
      </c>
      <c r="E16" s="8">
        <f t="shared" si="5"/>
        <v>13000</v>
      </c>
      <c r="F16" s="8">
        <f t="shared" si="6"/>
        <v>1726886.9982227325</v>
      </c>
      <c r="G16" s="15">
        <f t="shared" si="4"/>
        <v>1.088191905309136</v>
      </c>
    </row>
  </sheetData>
  <mergeCells count="7">
    <mergeCell ref="B2:G2"/>
    <mergeCell ref="C4:C5"/>
    <mergeCell ref="D4:D5"/>
    <mergeCell ref="B4:B6"/>
    <mergeCell ref="E4:E6"/>
    <mergeCell ref="F4:F6"/>
    <mergeCell ref="G4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I1" workbookViewId="0">
      <selection activeCell="K42" sqref="K42"/>
    </sheetView>
  </sheetViews>
  <sheetFormatPr defaultRowHeight="15" x14ac:dyDescent="0.25"/>
  <cols>
    <col min="2" max="2" width="11" customWidth="1"/>
    <col min="3" max="3" width="12.7109375" customWidth="1"/>
    <col min="4" max="4" width="12.5703125" customWidth="1"/>
    <col min="6" max="6" width="13" customWidth="1"/>
    <col min="7" max="7" width="11.140625" customWidth="1"/>
    <col min="9" max="9" width="2.5703125" customWidth="1"/>
    <col min="10" max="10" width="5.42578125" customWidth="1"/>
    <col min="11" max="11" width="21.140625" customWidth="1"/>
    <col min="12" max="12" width="12.7109375" customWidth="1"/>
    <col min="13" max="13" width="12.5703125" customWidth="1"/>
    <col min="14" max="14" width="14" customWidth="1"/>
    <col min="15" max="15" width="13" customWidth="1"/>
    <col min="16" max="16" width="11.140625" customWidth="1"/>
    <col min="18" max="18" width="11.140625" customWidth="1"/>
    <col min="20" max="20" width="12.7109375" customWidth="1"/>
    <col min="21" max="21" width="11.5703125" customWidth="1"/>
    <col min="22" max="22" width="10.85546875" customWidth="1"/>
  </cols>
  <sheetData>
    <row r="1" spans="1:25" s="2" customFormat="1" x14ac:dyDescent="0.25">
      <c r="A1"/>
      <c r="H1"/>
      <c r="Q1"/>
    </row>
    <row r="2" spans="1:25" x14ac:dyDescent="0.25">
      <c r="D2" s="1"/>
      <c r="F2" s="1"/>
      <c r="I2" s="1"/>
      <c r="J2" s="1"/>
      <c r="K2" s="1"/>
      <c r="L2" s="1"/>
      <c r="M2" s="1"/>
      <c r="O2" s="1"/>
      <c r="R2" s="1"/>
      <c r="T2" s="1"/>
      <c r="U2" s="1"/>
      <c r="V2" s="1"/>
      <c r="W2" s="1"/>
    </row>
    <row r="3" spans="1:25" ht="45" x14ac:dyDescent="0.25">
      <c r="D3" s="1"/>
      <c r="F3" s="1"/>
      <c r="G3" s="1"/>
      <c r="I3" s="1"/>
      <c r="J3" s="8"/>
      <c r="K3" s="32" t="s">
        <v>39</v>
      </c>
      <c r="L3" s="33" t="s">
        <v>40</v>
      </c>
      <c r="M3" s="32" t="s">
        <v>36</v>
      </c>
      <c r="N3" s="33" t="s">
        <v>41</v>
      </c>
      <c r="O3" s="32" t="s">
        <v>42</v>
      </c>
      <c r="P3" s="32" t="s">
        <v>43</v>
      </c>
      <c r="R3" s="1"/>
      <c r="T3" s="1"/>
      <c r="U3" s="1"/>
      <c r="V3" s="1"/>
      <c r="W3" s="1"/>
      <c r="X3" s="1"/>
      <c r="Y3" s="1"/>
    </row>
    <row r="4" spans="1:25" x14ac:dyDescent="0.25">
      <c r="D4" s="1"/>
      <c r="F4" s="1"/>
      <c r="G4" s="1"/>
      <c r="I4" s="1"/>
      <c r="J4" s="8"/>
      <c r="K4" s="30">
        <v>400000</v>
      </c>
      <c r="L4" s="8"/>
      <c r="M4" s="31">
        <v>0.1</v>
      </c>
      <c r="N4" s="8"/>
      <c r="O4" s="8">
        <v>52000</v>
      </c>
      <c r="P4" s="8"/>
      <c r="R4" s="1"/>
      <c r="T4" s="1"/>
      <c r="U4" s="1"/>
      <c r="V4" s="1"/>
      <c r="W4" s="1"/>
      <c r="X4" s="1"/>
      <c r="Y4" s="1"/>
    </row>
    <row r="5" spans="1:25" x14ac:dyDescent="0.25">
      <c r="D5" s="1"/>
      <c r="F5" s="1"/>
      <c r="G5" s="1"/>
      <c r="I5" s="1"/>
      <c r="J5" s="8">
        <v>1</v>
      </c>
      <c r="K5" s="8">
        <f>$K$4</f>
        <v>400000</v>
      </c>
      <c r="L5" s="8">
        <f>K5</f>
        <v>400000</v>
      </c>
      <c r="M5" s="8">
        <f>L5*$M$4</f>
        <v>40000</v>
      </c>
      <c r="N5" s="8">
        <f>L5+M5+O5</f>
        <v>440000</v>
      </c>
      <c r="O5" s="8">
        <v>0</v>
      </c>
      <c r="P5" s="8"/>
      <c r="R5" s="1"/>
      <c r="T5" s="1"/>
      <c r="U5" s="1"/>
      <c r="V5" s="1"/>
      <c r="W5" s="1"/>
      <c r="X5" s="1"/>
      <c r="Y5" s="1"/>
    </row>
    <row r="6" spans="1:25" x14ac:dyDescent="0.25">
      <c r="D6" s="1"/>
      <c r="F6" s="1"/>
      <c r="G6" s="1"/>
      <c r="I6" s="1"/>
      <c r="J6" s="8">
        <v>2</v>
      </c>
      <c r="K6" s="8">
        <f t="shared" ref="K6:K24" si="0">$K$4</f>
        <v>400000</v>
      </c>
      <c r="L6" s="8">
        <f>N5+K6</f>
        <v>840000</v>
      </c>
      <c r="M6" s="8">
        <f>L6*$M$4</f>
        <v>84000</v>
      </c>
      <c r="N6" s="8">
        <f>L6+M6+O6</f>
        <v>976000</v>
      </c>
      <c r="O6" s="8">
        <v>52000</v>
      </c>
      <c r="P6" s="8"/>
      <c r="R6" s="1"/>
      <c r="T6" s="1"/>
      <c r="U6" s="1"/>
      <c r="V6" s="1"/>
      <c r="W6" s="1"/>
      <c r="X6" s="1"/>
      <c r="Y6" s="1"/>
    </row>
    <row r="7" spans="1:25" x14ac:dyDescent="0.25">
      <c r="D7" s="1"/>
      <c r="F7" s="1"/>
      <c r="G7" s="1"/>
      <c r="I7" s="1"/>
      <c r="J7" s="8">
        <v>3</v>
      </c>
      <c r="K7" s="8">
        <f t="shared" si="0"/>
        <v>400000</v>
      </c>
      <c r="L7" s="8">
        <f t="shared" ref="L7:L24" si="1">N6+K7</f>
        <v>1376000</v>
      </c>
      <c r="M7" s="8">
        <f t="shared" ref="M7:M24" si="2">L7*$M$4</f>
        <v>137600</v>
      </c>
      <c r="N7" s="8">
        <f t="shared" ref="N7:N24" si="3">L7+M7+O7</f>
        <v>1617600</v>
      </c>
      <c r="O7" s="8">
        <f>$O$4+O6</f>
        <v>104000</v>
      </c>
      <c r="P7" s="8"/>
      <c r="R7" s="1"/>
      <c r="T7" s="1"/>
      <c r="U7" s="1"/>
      <c r="V7" s="1"/>
      <c r="W7" s="1"/>
      <c r="X7" s="1"/>
      <c r="Y7" s="1"/>
    </row>
    <row r="8" spans="1:25" x14ac:dyDescent="0.25">
      <c r="D8" s="1"/>
      <c r="F8" s="1"/>
      <c r="G8" s="1"/>
      <c r="I8" s="1"/>
      <c r="J8" s="8">
        <v>4</v>
      </c>
      <c r="K8" s="8">
        <f t="shared" si="0"/>
        <v>400000</v>
      </c>
      <c r="L8" s="8">
        <f t="shared" si="1"/>
        <v>2017600</v>
      </c>
      <c r="M8" s="8">
        <f t="shared" si="2"/>
        <v>201760</v>
      </c>
      <c r="N8" s="8">
        <f t="shared" si="3"/>
        <v>2375360</v>
      </c>
      <c r="O8" s="8">
        <f>$O$4+O7</f>
        <v>156000</v>
      </c>
      <c r="P8" s="8"/>
      <c r="R8" s="1"/>
      <c r="T8" s="1"/>
      <c r="U8" s="1"/>
      <c r="V8" s="1"/>
      <c r="W8" s="1"/>
      <c r="X8" s="1"/>
      <c r="Y8" s="1"/>
    </row>
    <row r="9" spans="1:25" x14ac:dyDescent="0.25">
      <c r="D9" s="1"/>
      <c r="F9" s="1"/>
      <c r="G9" s="1"/>
      <c r="I9" s="1"/>
      <c r="J9" s="8">
        <v>5</v>
      </c>
      <c r="K9" s="8">
        <f t="shared" si="0"/>
        <v>400000</v>
      </c>
      <c r="L9" s="8">
        <f t="shared" si="1"/>
        <v>2775360</v>
      </c>
      <c r="M9" s="8">
        <f t="shared" si="2"/>
        <v>277536</v>
      </c>
      <c r="N9" s="8">
        <f t="shared" si="3"/>
        <v>3260896</v>
      </c>
      <c r="O9" s="8">
        <f t="shared" ref="O9:O24" si="4">$O$4+O8</f>
        <v>208000</v>
      </c>
      <c r="P9" s="8"/>
      <c r="R9" s="1"/>
      <c r="T9" s="1"/>
      <c r="U9" s="1"/>
      <c r="V9" s="1"/>
      <c r="W9" s="1"/>
      <c r="X9" s="1"/>
      <c r="Y9" s="1"/>
    </row>
    <row r="10" spans="1:25" x14ac:dyDescent="0.25">
      <c r="D10" s="1"/>
      <c r="F10" s="1"/>
      <c r="G10" s="1"/>
      <c r="I10" s="1"/>
      <c r="J10" s="8">
        <v>6</v>
      </c>
      <c r="K10" s="8">
        <f t="shared" si="0"/>
        <v>400000</v>
      </c>
      <c r="L10" s="8">
        <f t="shared" si="1"/>
        <v>3660896</v>
      </c>
      <c r="M10" s="8">
        <f t="shared" si="2"/>
        <v>366089.60000000003</v>
      </c>
      <c r="N10" s="8">
        <f t="shared" si="3"/>
        <v>4286985.5999999996</v>
      </c>
      <c r="O10" s="8">
        <f t="shared" si="4"/>
        <v>260000</v>
      </c>
      <c r="P10" s="8"/>
      <c r="R10" s="1"/>
      <c r="T10" s="1"/>
      <c r="U10" s="1"/>
      <c r="V10" s="1"/>
      <c r="W10" s="1"/>
      <c r="X10" s="1"/>
      <c r="Y10" s="1"/>
    </row>
    <row r="11" spans="1:25" x14ac:dyDescent="0.25">
      <c r="D11" s="1"/>
      <c r="F11" s="1"/>
      <c r="G11" s="1"/>
      <c r="I11" s="1"/>
      <c r="J11" s="8">
        <v>7</v>
      </c>
      <c r="K11" s="8">
        <f t="shared" si="0"/>
        <v>400000</v>
      </c>
      <c r="L11" s="8">
        <f t="shared" si="1"/>
        <v>4686985.5999999996</v>
      </c>
      <c r="M11" s="8">
        <f t="shared" si="2"/>
        <v>468698.56</v>
      </c>
      <c r="N11" s="8">
        <f t="shared" si="3"/>
        <v>5467684.1599999992</v>
      </c>
      <c r="O11" s="8">
        <f t="shared" si="4"/>
        <v>312000</v>
      </c>
      <c r="P11" s="8"/>
      <c r="S11" s="1"/>
      <c r="T11" s="1"/>
      <c r="U11" s="1"/>
      <c r="V11" s="1"/>
      <c r="W11" s="1"/>
      <c r="X11" s="1"/>
      <c r="Y11" s="1"/>
    </row>
    <row r="12" spans="1:25" x14ac:dyDescent="0.25">
      <c r="J12" s="8">
        <v>8</v>
      </c>
      <c r="K12" s="8">
        <f t="shared" si="0"/>
        <v>400000</v>
      </c>
      <c r="L12" s="8">
        <f t="shared" si="1"/>
        <v>5867684.1599999992</v>
      </c>
      <c r="M12" s="8">
        <f t="shared" si="2"/>
        <v>586768.41599999997</v>
      </c>
      <c r="N12" s="8">
        <f t="shared" si="3"/>
        <v>6818452.5759999994</v>
      </c>
      <c r="O12" s="8">
        <f t="shared" si="4"/>
        <v>364000</v>
      </c>
      <c r="P12" s="6"/>
    </row>
    <row r="13" spans="1:25" x14ac:dyDescent="0.25">
      <c r="J13" s="8">
        <v>9</v>
      </c>
      <c r="K13" s="8">
        <f t="shared" si="0"/>
        <v>400000</v>
      </c>
      <c r="L13" s="8">
        <f t="shared" si="1"/>
        <v>7218452.5759999994</v>
      </c>
      <c r="M13" s="8">
        <f t="shared" si="2"/>
        <v>721845.25760000001</v>
      </c>
      <c r="N13" s="8">
        <f t="shared" si="3"/>
        <v>8356297.8335999995</v>
      </c>
      <c r="O13" s="8">
        <f t="shared" si="4"/>
        <v>416000</v>
      </c>
      <c r="P13" s="6"/>
    </row>
    <row r="14" spans="1:25" x14ac:dyDescent="0.25">
      <c r="J14" s="8">
        <v>10</v>
      </c>
      <c r="K14" s="8">
        <f t="shared" si="0"/>
        <v>400000</v>
      </c>
      <c r="L14" s="8">
        <f t="shared" si="1"/>
        <v>8756297.8335999995</v>
      </c>
      <c r="M14" s="8">
        <f t="shared" si="2"/>
        <v>875629.78336</v>
      </c>
      <c r="N14" s="8">
        <f t="shared" si="3"/>
        <v>10099927.61696</v>
      </c>
      <c r="O14" s="8">
        <f t="shared" si="4"/>
        <v>468000</v>
      </c>
      <c r="P14" s="6"/>
    </row>
    <row r="15" spans="1:25" x14ac:dyDescent="0.25">
      <c r="J15" s="8">
        <v>11</v>
      </c>
      <c r="K15" s="8">
        <f t="shared" si="0"/>
        <v>400000</v>
      </c>
      <c r="L15" s="8">
        <f t="shared" si="1"/>
        <v>10499927.61696</v>
      </c>
      <c r="M15" s="8">
        <f t="shared" si="2"/>
        <v>1049992.7616960001</v>
      </c>
      <c r="N15" s="8">
        <f t="shared" si="3"/>
        <v>12069920.378656</v>
      </c>
      <c r="O15" s="8">
        <f t="shared" si="4"/>
        <v>520000</v>
      </c>
      <c r="P15" s="6"/>
    </row>
    <row r="16" spans="1:25" x14ac:dyDescent="0.25">
      <c r="J16" s="8">
        <v>12</v>
      </c>
      <c r="K16" s="8">
        <f t="shared" si="0"/>
        <v>400000</v>
      </c>
      <c r="L16" s="8">
        <f t="shared" si="1"/>
        <v>12469920.378656</v>
      </c>
      <c r="M16" s="8">
        <f t="shared" si="2"/>
        <v>1246992.0378656001</v>
      </c>
      <c r="N16" s="8">
        <f t="shared" si="3"/>
        <v>14288912.4165216</v>
      </c>
      <c r="O16" s="8">
        <f t="shared" si="4"/>
        <v>572000</v>
      </c>
      <c r="P16" s="6"/>
    </row>
    <row r="17" spans="10:16" x14ac:dyDescent="0.25">
      <c r="J17" s="8">
        <v>13</v>
      </c>
      <c r="K17" s="8">
        <f t="shared" si="0"/>
        <v>400000</v>
      </c>
      <c r="L17" s="8">
        <f t="shared" si="1"/>
        <v>14688912.4165216</v>
      </c>
      <c r="M17" s="8">
        <f t="shared" si="2"/>
        <v>1468891.24165216</v>
      </c>
      <c r="N17" s="8">
        <f t="shared" si="3"/>
        <v>16781803.658173759</v>
      </c>
      <c r="O17" s="8">
        <f t="shared" si="4"/>
        <v>624000</v>
      </c>
      <c r="P17" s="6"/>
    </row>
    <row r="18" spans="10:16" x14ac:dyDescent="0.25">
      <c r="J18" s="8">
        <v>14</v>
      </c>
      <c r="K18" s="8">
        <f t="shared" si="0"/>
        <v>400000</v>
      </c>
      <c r="L18" s="8">
        <f t="shared" si="1"/>
        <v>17181803.658173759</v>
      </c>
      <c r="M18" s="8">
        <f t="shared" si="2"/>
        <v>1718180.3658173759</v>
      </c>
      <c r="N18" s="8">
        <f t="shared" si="3"/>
        <v>19575984.023991134</v>
      </c>
      <c r="O18" s="8">
        <f t="shared" si="4"/>
        <v>676000</v>
      </c>
      <c r="P18" s="6"/>
    </row>
    <row r="19" spans="10:16" x14ac:dyDescent="0.25">
      <c r="J19" s="8">
        <v>15</v>
      </c>
      <c r="K19" s="8">
        <f t="shared" si="0"/>
        <v>400000</v>
      </c>
      <c r="L19" s="8">
        <f t="shared" si="1"/>
        <v>19975984.023991134</v>
      </c>
      <c r="M19" s="8">
        <f t="shared" si="2"/>
        <v>1997598.4023991134</v>
      </c>
      <c r="N19" s="8">
        <f t="shared" si="3"/>
        <v>22701582.426390246</v>
      </c>
      <c r="O19" s="8">
        <f t="shared" si="4"/>
        <v>728000</v>
      </c>
      <c r="P19" s="6"/>
    </row>
    <row r="20" spans="10:16" x14ac:dyDescent="0.25">
      <c r="J20" s="8">
        <v>16</v>
      </c>
      <c r="K20" s="8">
        <f t="shared" si="0"/>
        <v>400000</v>
      </c>
      <c r="L20" s="8">
        <f t="shared" si="1"/>
        <v>23101582.426390246</v>
      </c>
      <c r="M20" s="8">
        <f t="shared" si="2"/>
        <v>2310158.2426390247</v>
      </c>
      <c r="N20" s="8">
        <f t="shared" si="3"/>
        <v>26191740.669029269</v>
      </c>
      <c r="O20" s="8">
        <f t="shared" si="4"/>
        <v>780000</v>
      </c>
      <c r="P20" s="6"/>
    </row>
    <row r="21" spans="10:16" x14ac:dyDescent="0.25">
      <c r="J21" s="8">
        <v>17</v>
      </c>
      <c r="K21" s="8">
        <f t="shared" si="0"/>
        <v>400000</v>
      </c>
      <c r="L21" s="8">
        <f t="shared" si="1"/>
        <v>26591740.669029269</v>
      </c>
      <c r="M21" s="8">
        <f t="shared" si="2"/>
        <v>2659174.0669029271</v>
      </c>
      <c r="N21" s="8">
        <f t="shared" si="3"/>
        <v>30082914.735932197</v>
      </c>
      <c r="O21" s="8">
        <f t="shared" si="4"/>
        <v>832000</v>
      </c>
      <c r="P21" s="6"/>
    </row>
    <row r="22" spans="10:16" x14ac:dyDescent="0.25">
      <c r="J22" s="8">
        <v>18</v>
      </c>
      <c r="K22" s="8">
        <f t="shared" si="0"/>
        <v>400000</v>
      </c>
      <c r="L22" s="8">
        <f t="shared" si="1"/>
        <v>30482914.735932197</v>
      </c>
      <c r="M22" s="8">
        <f t="shared" si="2"/>
        <v>3048291.4735932201</v>
      </c>
      <c r="N22" s="8">
        <f t="shared" si="3"/>
        <v>34415206.209525421</v>
      </c>
      <c r="O22" s="8">
        <f t="shared" si="4"/>
        <v>884000</v>
      </c>
      <c r="P22" s="6"/>
    </row>
    <row r="23" spans="10:16" x14ac:dyDescent="0.25">
      <c r="J23" s="8">
        <v>19</v>
      </c>
      <c r="K23" s="8">
        <f t="shared" si="0"/>
        <v>400000</v>
      </c>
      <c r="L23" s="8">
        <f t="shared" si="1"/>
        <v>34815206.209525421</v>
      </c>
      <c r="M23" s="8">
        <f t="shared" si="2"/>
        <v>3481520.6209525424</v>
      </c>
      <c r="N23" s="8">
        <f t="shared" si="3"/>
        <v>39232726.83047796</v>
      </c>
      <c r="O23" s="8">
        <f t="shared" si="4"/>
        <v>936000</v>
      </c>
      <c r="P23" s="6"/>
    </row>
    <row r="24" spans="10:16" x14ac:dyDescent="0.25">
      <c r="J24" s="8">
        <v>20</v>
      </c>
      <c r="K24" s="8">
        <f t="shared" si="0"/>
        <v>400000</v>
      </c>
      <c r="L24" s="8">
        <f t="shared" si="1"/>
        <v>39632726.83047796</v>
      </c>
      <c r="M24" s="8">
        <f t="shared" si="2"/>
        <v>3963272.6830477961</v>
      </c>
      <c r="N24" s="8">
        <f t="shared" si="3"/>
        <v>44583999.513525754</v>
      </c>
      <c r="O24" s="8">
        <f t="shared" si="4"/>
        <v>988000</v>
      </c>
      <c r="P24" s="6"/>
    </row>
    <row r="27" spans="10:16" ht="15" customHeight="1" x14ac:dyDescent="0.25">
      <c r="J27" s="34" t="s">
        <v>44</v>
      </c>
      <c r="K27" s="2"/>
      <c r="L27" s="2"/>
      <c r="M27" s="2"/>
      <c r="N27" s="2"/>
      <c r="O27" s="2"/>
      <c r="P27" s="2"/>
    </row>
    <row r="28" spans="10:16" x14ac:dyDescent="0.25">
      <c r="J28" t="s">
        <v>45</v>
      </c>
    </row>
    <row r="29" spans="10:16" x14ac:dyDescent="0.25">
      <c r="J29" t="s">
        <v>46</v>
      </c>
    </row>
    <row r="30" spans="10:16" x14ac:dyDescent="0.25">
      <c r="J30" t="s">
        <v>47</v>
      </c>
    </row>
    <row r="31" spans="10:16" x14ac:dyDescent="0.25">
      <c r="J31" t="s">
        <v>48</v>
      </c>
    </row>
    <row r="32" spans="10:16" x14ac:dyDescent="0.25">
      <c r="J32" t="s">
        <v>49</v>
      </c>
    </row>
    <row r="33" spans="10:10" x14ac:dyDescent="0.25">
      <c r="J33" t="s">
        <v>50</v>
      </c>
    </row>
    <row r="34" spans="10:10" x14ac:dyDescent="0.25">
      <c r="J34" t="s">
        <v>51</v>
      </c>
    </row>
    <row r="35" spans="10:10" x14ac:dyDescent="0.25">
      <c r="J35" t="s">
        <v>52</v>
      </c>
    </row>
    <row r="36" spans="10:10" x14ac:dyDescent="0.25">
      <c r="J36" t="s">
        <v>53</v>
      </c>
    </row>
    <row r="37" spans="10:10" x14ac:dyDescent="0.25">
      <c r="J37" t="s">
        <v>54</v>
      </c>
    </row>
    <row r="38" spans="10:10" x14ac:dyDescent="0.25">
      <c r="J3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Типы вычетов пример</vt:lpstr>
      <vt:lpstr>Реальная доходность</vt:lpstr>
      <vt:lpstr>Сравнение</vt:lpstr>
    </vt:vector>
  </TitlesOfParts>
  <Company>CGGVeritas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romanenko, marina</dc:creator>
  <cp:lastModifiedBy>RePack by Diakov</cp:lastModifiedBy>
  <dcterms:created xsi:type="dcterms:W3CDTF">2018-11-17T11:37:55Z</dcterms:created>
  <dcterms:modified xsi:type="dcterms:W3CDTF">2018-12-17T08:00:24Z</dcterms:modified>
</cp:coreProperties>
</file>